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landas.marcinkevic\Pictures\"/>
    </mc:Choice>
  </mc:AlternateContent>
  <xr:revisionPtr revIDLastSave="0" documentId="13_ncr:1_{339FF7B9-E1BB-493A-BB03-312D248F47DB}" xr6:coauthVersionLast="47" xr6:coauthVersionMax="47" xr10:uidLastSave="{00000000-0000-0000-0000-000000000000}"/>
  <workbookProtection workbookAlgorithmName="SHA-512" workbookHashValue="iPWE7zH/VqehLJkHE8/HbilVvIdq+g2fD68uYqE6bFINUAhvzqmebuNQ117z+h2qvJ1CVVoUOxby4QHPx3re1w==" workbookSaltValue="Ha5UCuoS0Sr8J3a6qU8j4A==" workbookSpinCount="100000" lockStructure="1"/>
  <bookViews>
    <workbookView xWindow="-23148" yWindow="1272" windowWidth="23256" windowHeight="12456" xr2:uid="{251D3ABB-2E6E-4A47-BE6C-0C1C40EBF69B}"/>
  </bookViews>
  <sheets>
    <sheet name="Atsipirkimo vertinimas" sheetId="1" r:id="rId1"/>
    <sheet name="Rezultatų lentelė" sheetId="4" r:id="rId2"/>
    <sheet name="Skaičiavimai" sheetId="2" state="hidden" r:id="rId3"/>
    <sheet name="Klasifikatorius" sheetId="3" state="hidden" r:id="rId4"/>
    <sheet name="Grafikas" sheetId="5" state="hidden" r:id="rId5"/>
  </sheets>
  <definedNames>
    <definedName name="Atidėjimas">Table2[Atidėjimas]</definedName>
    <definedName name="DISCONT" localSheetId="1">Table12[Diskonto norma]</definedName>
    <definedName name="DISCONT">Table12[Diskonto norma]</definedName>
    <definedName name="Investicijos" localSheetId="1">Table4[Renovacijų investicijos]</definedName>
    <definedName name="Investicijos">Table4[Renovacijų investicijos]</definedName>
    <definedName name="Kaupimas" localSheetId="1">Table5[Remonto kaupimas]</definedName>
    <definedName name="Kaupimas">Table5[Remonto kaupimas]</definedName>
    <definedName name="Paskola" localSheetId="1">Table7[Paskolos trukmė]</definedName>
    <definedName name="Paskola">Table7[Paskolos trukmė]</definedName>
    <definedName name="Subsidija" localSheetId="1">Table3[Subsidija]</definedName>
    <definedName name="Subsidija">Table3[Subsidija]</definedName>
    <definedName name="Sutaupymas" localSheetId="1">Table1[Sutaupymas]</definedName>
    <definedName name="Sutaupymas">Table1[Sutaupymas]</definedName>
    <definedName name="TP" localSheetId="1">Table11[Techninė priežiūra]</definedName>
    <definedName name="TP">Table11[Techninė priežiūra]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21" i="4" l="1"/>
  <c r="Z21" i="4"/>
  <c r="AA21" i="4"/>
  <c r="AB21" i="4"/>
  <c r="AC21" i="4"/>
  <c r="Y26" i="4"/>
  <c r="Z26" i="4"/>
  <c r="AA26" i="4"/>
  <c r="AB26" i="4"/>
  <c r="AC26" i="4"/>
  <c r="D37" i="2"/>
  <c r="E37" i="2"/>
  <c r="F37" i="2"/>
  <c r="X2" i="5"/>
  <c r="X255" i="5"/>
  <c r="X267" i="5"/>
  <c r="X279" i="5"/>
  <c r="X291" i="5"/>
  <c r="X303" i="5"/>
  <c r="X315" i="5"/>
  <c r="X327" i="5"/>
  <c r="X339" i="5"/>
  <c r="X351" i="5"/>
  <c r="X363" i="5"/>
  <c r="X375" i="5"/>
  <c r="X387" i="5"/>
  <c r="X399" i="5"/>
  <c r="X411" i="5"/>
  <c r="X423" i="5"/>
  <c r="X435" i="5"/>
  <c r="X447" i="5"/>
  <c r="X459" i="5"/>
  <c r="X471" i="5"/>
  <c r="X483" i="5"/>
  <c r="X495" i="5"/>
  <c r="X507" i="5"/>
  <c r="X519" i="5"/>
  <c r="X531" i="5"/>
  <c r="X543" i="5"/>
  <c r="X555" i="5"/>
  <c r="X567" i="5"/>
  <c r="X579" i="5"/>
  <c r="X591" i="5"/>
  <c r="X603" i="5"/>
  <c r="L603" i="5"/>
  <c r="L591" i="5"/>
  <c r="L579" i="5"/>
  <c r="L567" i="5"/>
  <c r="L555" i="5"/>
  <c r="L543" i="5"/>
  <c r="L531" i="5"/>
  <c r="L519" i="5"/>
  <c r="L507" i="5"/>
  <c r="L495" i="5"/>
  <c r="L483" i="5"/>
  <c r="L471" i="5"/>
  <c r="L459" i="5"/>
  <c r="L447" i="5"/>
  <c r="L435" i="5"/>
  <c r="L423" i="5"/>
  <c r="L411" i="5"/>
  <c r="L399" i="5"/>
  <c r="L387" i="5"/>
  <c r="L375" i="5"/>
  <c r="L363" i="5"/>
  <c r="L351" i="5"/>
  <c r="L339" i="5"/>
  <c r="L327" i="5"/>
  <c r="L315" i="5"/>
  <c r="L303" i="5"/>
  <c r="L291" i="5"/>
  <c r="L279" i="5"/>
  <c r="L267" i="5"/>
  <c r="L255" i="5"/>
  <c r="W2" i="5"/>
  <c r="T169" i="5"/>
  <c r="U169" i="5"/>
  <c r="T170" i="5"/>
  <c r="U170" i="5"/>
  <c r="T171" i="5"/>
  <c r="U171" i="5"/>
  <c r="T172" i="5"/>
  <c r="U172" i="5"/>
  <c r="T173" i="5"/>
  <c r="U173" i="5"/>
  <c r="T174" i="5"/>
  <c r="U174" i="5"/>
  <c r="T175" i="5"/>
  <c r="U175" i="5"/>
  <c r="T176" i="5"/>
  <c r="U176" i="5"/>
  <c r="T177" i="5"/>
  <c r="U177" i="5"/>
  <c r="T178" i="5"/>
  <c r="U178" i="5"/>
  <c r="T179" i="5"/>
  <c r="U179" i="5"/>
  <c r="T180" i="5"/>
  <c r="U180" i="5"/>
  <c r="T181" i="5"/>
  <c r="U181" i="5"/>
  <c r="T182" i="5"/>
  <c r="U182" i="5"/>
  <c r="T183" i="5"/>
  <c r="U183" i="5"/>
  <c r="T184" i="5"/>
  <c r="U184" i="5"/>
  <c r="T185" i="5"/>
  <c r="U185" i="5"/>
  <c r="T186" i="5"/>
  <c r="U186" i="5"/>
  <c r="T187" i="5"/>
  <c r="U187" i="5"/>
  <c r="T188" i="5"/>
  <c r="U188" i="5"/>
  <c r="T189" i="5"/>
  <c r="U189" i="5"/>
  <c r="T190" i="5"/>
  <c r="U190" i="5"/>
  <c r="T191" i="5"/>
  <c r="U191" i="5"/>
  <c r="T192" i="5"/>
  <c r="U192" i="5"/>
  <c r="T193" i="5"/>
  <c r="U193" i="5"/>
  <c r="T194" i="5"/>
  <c r="U194" i="5"/>
  <c r="T195" i="5"/>
  <c r="U195" i="5"/>
  <c r="T196" i="5"/>
  <c r="U196" i="5"/>
  <c r="T197" i="5"/>
  <c r="U197" i="5"/>
  <c r="T198" i="5"/>
  <c r="U198" i="5"/>
  <c r="T199" i="5"/>
  <c r="U199" i="5"/>
  <c r="T200" i="5"/>
  <c r="U200" i="5"/>
  <c r="T201" i="5"/>
  <c r="U201" i="5"/>
  <c r="T202" i="5"/>
  <c r="U202" i="5"/>
  <c r="T203" i="5"/>
  <c r="U203" i="5"/>
  <c r="T204" i="5"/>
  <c r="U204" i="5"/>
  <c r="T205" i="5"/>
  <c r="U205" i="5"/>
  <c r="T206" i="5"/>
  <c r="U206" i="5"/>
  <c r="T207" i="5"/>
  <c r="U207" i="5"/>
  <c r="T208" i="5"/>
  <c r="U208" i="5"/>
  <c r="T209" i="5"/>
  <c r="U209" i="5"/>
  <c r="T210" i="5"/>
  <c r="U210" i="5"/>
  <c r="T211" i="5"/>
  <c r="U211" i="5"/>
  <c r="T212" i="5"/>
  <c r="U212" i="5"/>
  <c r="T213" i="5"/>
  <c r="U213" i="5"/>
  <c r="T214" i="5"/>
  <c r="U214" i="5"/>
  <c r="T215" i="5"/>
  <c r="U215" i="5"/>
  <c r="T216" i="5"/>
  <c r="U216" i="5"/>
  <c r="T217" i="5"/>
  <c r="U217" i="5"/>
  <c r="T218" i="5"/>
  <c r="U218" i="5"/>
  <c r="T219" i="5"/>
  <c r="U219" i="5"/>
  <c r="T220" i="5"/>
  <c r="U220" i="5"/>
  <c r="T221" i="5"/>
  <c r="U221" i="5"/>
  <c r="T222" i="5"/>
  <c r="U222" i="5"/>
  <c r="T223" i="5"/>
  <c r="U223" i="5"/>
  <c r="T224" i="5"/>
  <c r="U224" i="5"/>
  <c r="T225" i="5"/>
  <c r="U225" i="5"/>
  <c r="T226" i="5"/>
  <c r="U226" i="5"/>
  <c r="T227" i="5"/>
  <c r="U227" i="5"/>
  <c r="T228" i="5"/>
  <c r="U228" i="5"/>
  <c r="T229" i="5"/>
  <c r="U229" i="5"/>
  <c r="T230" i="5"/>
  <c r="U230" i="5"/>
  <c r="T231" i="5"/>
  <c r="U231" i="5"/>
  <c r="T232" i="5"/>
  <c r="U232" i="5"/>
  <c r="T233" i="5"/>
  <c r="U233" i="5"/>
  <c r="T234" i="5"/>
  <c r="U234" i="5"/>
  <c r="T235" i="5"/>
  <c r="U235" i="5"/>
  <c r="T236" i="5"/>
  <c r="U236" i="5"/>
  <c r="T237" i="5"/>
  <c r="U237" i="5"/>
  <c r="T238" i="5"/>
  <c r="U238" i="5"/>
  <c r="T239" i="5"/>
  <c r="U239" i="5"/>
  <c r="T240" i="5"/>
  <c r="U240" i="5"/>
  <c r="T241" i="5"/>
  <c r="U241" i="5"/>
  <c r="T242" i="5"/>
  <c r="U242" i="5"/>
  <c r="T243" i="5"/>
  <c r="U243" i="5"/>
  <c r="T244" i="5"/>
  <c r="U244" i="5"/>
  <c r="T245" i="5"/>
  <c r="U245" i="5"/>
  <c r="T246" i="5"/>
  <c r="U246" i="5"/>
  <c r="T247" i="5"/>
  <c r="U247" i="5"/>
  <c r="T248" i="5"/>
  <c r="U248" i="5"/>
  <c r="T249" i="5"/>
  <c r="U249" i="5"/>
  <c r="T250" i="5"/>
  <c r="U250" i="5"/>
  <c r="T251" i="5"/>
  <c r="U251" i="5"/>
  <c r="T252" i="5"/>
  <c r="U252" i="5"/>
  <c r="T253" i="5"/>
  <c r="U253" i="5"/>
  <c r="T254" i="5"/>
  <c r="U254" i="5"/>
  <c r="T255" i="5"/>
  <c r="U255" i="5"/>
  <c r="T256" i="5"/>
  <c r="U256" i="5"/>
  <c r="T257" i="5"/>
  <c r="U257" i="5"/>
  <c r="T258" i="5"/>
  <c r="U258" i="5"/>
  <c r="T259" i="5"/>
  <c r="U259" i="5"/>
  <c r="T260" i="5"/>
  <c r="U260" i="5"/>
  <c r="T261" i="5"/>
  <c r="U261" i="5"/>
  <c r="T262" i="5"/>
  <c r="U262" i="5"/>
  <c r="T263" i="5"/>
  <c r="U263" i="5"/>
  <c r="T264" i="5"/>
  <c r="U264" i="5"/>
  <c r="T265" i="5"/>
  <c r="U265" i="5"/>
  <c r="T266" i="5"/>
  <c r="U266" i="5"/>
  <c r="T267" i="5"/>
  <c r="U267" i="5"/>
  <c r="T268" i="5"/>
  <c r="U268" i="5"/>
  <c r="T269" i="5"/>
  <c r="U269" i="5"/>
  <c r="T270" i="5"/>
  <c r="U270" i="5"/>
  <c r="T271" i="5"/>
  <c r="U271" i="5"/>
  <c r="T272" i="5"/>
  <c r="U272" i="5"/>
  <c r="T273" i="5"/>
  <c r="U273" i="5"/>
  <c r="T274" i="5"/>
  <c r="U274" i="5"/>
  <c r="T275" i="5"/>
  <c r="U275" i="5"/>
  <c r="T276" i="5"/>
  <c r="U276" i="5"/>
  <c r="T277" i="5"/>
  <c r="U277" i="5"/>
  <c r="T278" i="5"/>
  <c r="U278" i="5"/>
  <c r="T279" i="5"/>
  <c r="U279" i="5"/>
  <c r="T280" i="5"/>
  <c r="U280" i="5"/>
  <c r="T281" i="5"/>
  <c r="U281" i="5"/>
  <c r="T282" i="5"/>
  <c r="U282" i="5"/>
  <c r="T283" i="5"/>
  <c r="U283" i="5"/>
  <c r="T284" i="5"/>
  <c r="U284" i="5"/>
  <c r="T285" i="5"/>
  <c r="U285" i="5"/>
  <c r="T286" i="5"/>
  <c r="U286" i="5"/>
  <c r="T287" i="5"/>
  <c r="U287" i="5"/>
  <c r="T288" i="5"/>
  <c r="U288" i="5"/>
  <c r="T289" i="5"/>
  <c r="U289" i="5"/>
  <c r="T290" i="5"/>
  <c r="U290" i="5"/>
  <c r="T291" i="5"/>
  <c r="U291" i="5"/>
  <c r="T292" i="5"/>
  <c r="U292" i="5"/>
  <c r="T293" i="5"/>
  <c r="U293" i="5"/>
  <c r="T294" i="5"/>
  <c r="U294" i="5"/>
  <c r="T295" i="5"/>
  <c r="U295" i="5"/>
  <c r="T296" i="5"/>
  <c r="U296" i="5"/>
  <c r="T297" i="5"/>
  <c r="U297" i="5"/>
  <c r="T298" i="5"/>
  <c r="U298" i="5"/>
  <c r="T299" i="5"/>
  <c r="U299" i="5"/>
  <c r="T300" i="5"/>
  <c r="U300" i="5"/>
  <c r="T301" i="5"/>
  <c r="U301" i="5"/>
  <c r="T302" i="5"/>
  <c r="U302" i="5"/>
  <c r="T303" i="5"/>
  <c r="U303" i="5"/>
  <c r="T304" i="5"/>
  <c r="U304" i="5"/>
  <c r="T305" i="5"/>
  <c r="U305" i="5"/>
  <c r="T306" i="5"/>
  <c r="U306" i="5"/>
  <c r="T307" i="5"/>
  <c r="U307" i="5"/>
  <c r="T308" i="5"/>
  <c r="U308" i="5"/>
  <c r="T309" i="5"/>
  <c r="U309" i="5"/>
  <c r="T310" i="5"/>
  <c r="U310" i="5"/>
  <c r="T311" i="5"/>
  <c r="U311" i="5"/>
  <c r="T312" i="5"/>
  <c r="U312" i="5"/>
  <c r="T313" i="5"/>
  <c r="U313" i="5"/>
  <c r="T314" i="5"/>
  <c r="U314" i="5"/>
  <c r="T315" i="5"/>
  <c r="U315" i="5"/>
  <c r="T316" i="5"/>
  <c r="U316" i="5"/>
  <c r="T317" i="5"/>
  <c r="U317" i="5"/>
  <c r="T318" i="5"/>
  <c r="U318" i="5"/>
  <c r="T319" i="5"/>
  <c r="U319" i="5"/>
  <c r="T320" i="5"/>
  <c r="U320" i="5"/>
  <c r="T321" i="5"/>
  <c r="U321" i="5"/>
  <c r="T322" i="5"/>
  <c r="U322" i="5"/>
  <c r="T323" i="5"/>
  <c r="U323" i="5"/>
  <c r="T324" i="5"/>
  <c r="U324" i="5"/>
  <c r="T325" i="5"/>
  <c r="U325" i="5"/>
  <c r="T326" i="5"/>
  <c r="U326" i="5"/>
  <c r="T327" i="5"/>
  <c r="U327" i="5"/>
  <c r="T328" i="5"/>
  <c r="U328" i="5"/>
  <c r="T329" i="5"/>
  <c r="U329" i="5"/>
  <c r="T330" i="5"/>
  <c r="U330" i="5"/>
  <c r="T331" i="5"/>
  <c r="U331" i="5"/>
  <c r="T332" i="5"/>
  <c r="U332" i="5"/>
  <c r="T333" i="5"/>
  <c r="U333" i="5"/>
  <c r="T334" i="5"/>
  <c r="U334" i="5"/>
  <c r="T335" i="5"/>
  <c r="U335" i="5"/>
  <c r="T336" i="5"/>
  <c r="U336" i="5"/>
  <c r="T337" i="5"/>
  <c r="U337" i="5"/>
  <c r="T338" i="5"/>
  <c r="U338" i="5"/>
  <c r="T339" i="5"/>
  <c r="U339" i="5"/>
  <c r="T340" i="5"/>
  <c r="U340" i="5"/>
  <c r="T341" i="5"/>
  <c r="U341" i="5"/>
  <c r="T342" i="5"/>
  <c r="U342" i="5"/>
  <c r="T343" i="5"/>
  <c r="U343" i="5"/>
  <c r="T344" i="5"/>
  <c r="U344" i="5"/>
  <c r="T345" i="5"/>
  <c r="U345" i="5"/>
  <c r="T346" i="5"/>
  <c r="U346" i="5"/>
  <c r="T347" i="5"/>
  <c r="U347" i="5"/>
  <c r="T348" i="5"/>
  <c r="U348" i="5"/>
  <c r="T349" i="5"/>
  <c r="U349" i="5"/>
  <c r="T350" i="5"/>
  <c r="U350" i="5"/>
  <c r="T351" i="5"/>
  <c r="U351" i="5"/>
  <c r="T352" i="5"/>
  <c r="U352" i="5"/>
  <c r="T353" i="5"/>
  <c r="U353" i="5"/>
  <c r="T354" i="5"/>
  <c r="U354" i="5"/>
  <c r="T355" i="5"/>
  <c r="U355" i="5"/>
  <c r="T356" i="5"/>
  <c r="U356" i="5"/>
  <c r="T357" i="5"/>
  <c r="U357" i="5"/>
  <c r="T358" i="5"/>
  <c r="U358" i="5"/>
  <c r="T359" i="5"/>
  <c r="U359" i="5"/>
  <c r="T360" i="5"/>
  <c r="U360" i="5"/>
  <c r="T361" i="5"/>
  <c r="U361" i="5"/>
  <c r="T362" i="5"/>
  <c r="U362" i="5"/>
  <c r="T363" i="5"/>
  <c r="U363" i="5"/>
  <c r="T364" i="5"/>
  <c r="U364" i="5"/>
  <c r="T365" i="5"/>
  <c r="U365" i="5"/>
  <c r="T366" i="5"/>
  <c r="U366" i="5"/>
  <c r="T367" i="5"/>
  <c r="U367" i="5"/>
  <c r="T368" i="5"/>
  <c r="U368" i="5"/>
  <c r="T369" i="5"/>
  <c r="U369" i="5"/>
  <c r="T370" i="5"/>
  <c r="U370" i="5"/>
  <c r="T371" i="5"/>
  <c r="U371" i="5"/>
  <c r="T372" i="5"/>
  <c r="U372" i="5"/>
  <c r="T373" i="5"/>
  <c r="U373" i="5"/>
  <c r="T374" i="5"/>
  <c r="U374" i="5"/>
  <c r="T375" i="5"/>
  <c r="U375" i="5"/>
  <c r="T376" i="5"/>
  <c r="U376" i="5"/>
  <c r="T377" i="5"/>
  <c r="U377" i="5"/>
  <c r="T378" i="5"/>
  <c r="U378" i="5"/>
  <c r="T379" i="5"/>
  <c r="U379" i="5"/>
  <c r="T380" i="5"/>
  <c r="U380" i="5"/>
  <c r="T381" i="5"/>
  <c r="U381" i="5"/>
  <c r="T382" i="5"/>
  <c r="U382" i="5"/>
  <c r="T383" i="5"/>
  <c r="U383" i="5"/>
  <c r="T384" i="5"/>
  <c r="U384" i="5"/>
  <c r="T385" i="5"/>
  <c r="U385" i="5"/>
  <c r="T386" i="5"/>
  <c r="U386" i="5"/>
  <c r="T387" i="5"/>
  <c r="U387" i="5"/>
  <c r="T388" i="5"/>
  <c r="U388" i="5"/>
  <c r="T389" i="5"/>
  <c r="U389" i="5"/>
  <c r="T390" i="5"/>
  <c r="U390" i="5"/>
  <c r="T391" i="5"/>
  <c r="U391" i="5"/>
  <c r="T392" i="5"/>
  <c r="U392" i="5"/>
  <c r="T393" i="5"/>
  <c r="U393" i="5"/>
  <c r="T394" i="5"/>
  <c r="U394" i="5"/>
  <c r="T395" i="5"/>
  <c r="U395" i="5"/>
  <c r="T396" i="5"/>
  <c r="U396" i="5"/>
  <c r="T397" i="5"/>
  <c r="U397" i="5"/>
  <c r="T398" i="5"/>
  <c r="U398" i="5"/>
  <c r="T399" i="5"/>
  <c r="U399" i="5"/>
  <c r="T400" i="5"/>
  <c r="U400" i="5"/>
  <c r="T401" i="5"/>
  <c r="U401" i="5"/>
  <c r="T402" i="5"/>
  <c r="U402" i="5"/>
  <c r="T403" i="5"/>
  <c r="U403" i="5"/>
  <c r="T404" i="5"/>
  <c r="U404" i="5"/>
  <c r="T405" i="5"/>
  <c r="U405" i="5"/>
  <c r="T406" i="5"/>
  <c r="U406" i="5"/>
  <c r="T407" i="5"/>
  <c r="U407" i="5"/>
  <c r="T408" i="5"/>
  <c r="U408" i="5"/>
  <c r="T409" i="5"/>
  <c r="U409" i="5"/>
  <c r="T410" i="5"/>
  <c r="U410" i="5"/>
  <c r="T411" i="5"/>
  <c r="U411" i="5"/>
  <c r="T412" i="5"/>
  <c r="U412" i="5"/>
  <c r="T413" i="5"/>
  <c r="U413" i="5"/>
  <c r="T414" i="5"/>
  <c r="U414" i="5"/>
  <c r="T415" i="5"/>
  <c r="U415" i="5"/>
  <c r="T416" i="5"/>
  <c r="U416" i="5"/>
  <c r="T417" i="5"/>
  <c r="U417" i="5"/>
  <c r="T418" i="5"/>
  <c r="U418" i="5"/>
  <c r="T419" i="5"/>
  <c r="U419" i="5"/>
  <c r="T420" i="5"/>
  <c r="U420" i="5"/>
  <c r="T421" i="5"/>
  <c r="U421" i="5"/>
  <c r="T422" i="5"/>
  <c r="U422" i="5"/>
  <c r="T423" i="5"/>
  <c r="U423" i="5"/>
  <c r="T424" i="5"/>
  <c r="U424" i="5"/>
  <c r="T425" i="5"/>
  <c r="U425" i="5"/>
  <c r="T426" i="5"/>
  <c r="U426" i="5"/>
  <c r="T427" i="5"/>
  <c r="U427" i="5"/>
  <c r="T428" i="5"/>
  <c r="U428" i="5"/>
  <c r="T429" i="5"/>
  <c r="U429" i="5"/>
  <c r="T430" i="5"/>
  <c r="U430" i="5"/>
  <c r="T431" i="5"/>
  <c r="U431" i="5"/>
  <c r="T432" i="5"/>
  <c r="U432" i="5"/>
  <c r="T433" i="5"/>
  <c r="U433" i="5"/>
  <c r="T434" i="5"/>
  <c r="U434" i="5"/>
  <c r="T435" i="5"/>
  <c r="U435" i="5"/>
  <c r="T436" i="5"/>
  <c r="U436" i="5"/>
  <c r="T437" i="5"/>
  <c r="U437" i="5"/>
  <c r="T438" i="5"/>
  <c r="U438" i="5"/>
  <c r="T439" i="5"/>
  <c r="U439" i="5"/>
  <c r="T440" i="5"/>
  <c r="U440" i="5"/>
  <c r="T441" i="5"/>
  <c r="U441" i="5"/>
  <c r="T442" i="5"/>
  <c r="U442" i="5"/>
  <c r="T443" i="5"/>
  <c r="U443" i="5"/>
  <c r="T444" i="5"/>
  <c r="U444" i="5"/>
  <c r="T445" i="5"/>
  <c r="U445" i="5"/>
  <c r="T446" i="5"/>
  <c r="U446" i="5"/>
  <c r="T447" i="5"/>
  <c r="U447" i="5"/>
  <c r="T448" i="5"/>
  <c r="U448" i="5"/>
  <c r="T449" i="5"/>
  <c r="U449" i="5"/>
  <c r="T450" i="5"/>
  <c r="U450" i="5"/>
  <c r="T451" i="5"/>
  <c r="U451" i="5"/>
  <c r="T452" i="5"/>
  <c r="U452" i="5"/>
  <c r="T453" i="5"/>
  <c r="U453" i="5"/>
  <c r="T454" i="5"/>
  <c r="U454" i="5"/>
  <c r="T455" i="5"/>
  <c r="U455" i="5"/>
  <c r="T456" i="5"/>
  <c r="U456" i="5"/>
  <c r="T457" i="5"/>
  <c r="U457" i="5"/>
  <c r="T458" i="5"/>
  <c r="U458" i="5"/>
  <c r="T459" i="5"/>
  <c r="U459" i="5"/>
  <c r="T460" i="5"/>
  <c r="U460" i="5"/>
  <c r="T461" i="5"/>
  <c r="U461" i="5"/>
  <c r="T462" i="5"/>
  <c r="U462" i="5"/>
  <c r="T463" i="5"/>
  <c r="U463" i="5"/>
  <c r="T464" i="5"/>
  <c r="U464" i="5"/>
  <c r="T465" i="5"/>
  <c r="U465" i="5"/>
  <c r="T466" i="5"/>
  <c r="U466" i="5"/>
  <c r="T467" i="5"/>
  <c r="U467" i="5"/>
  <c r="T468" i="5"/>
  <c r="U468" i="5"/>
  <c r="T469" i="5"/>
  <c r="U469" i="5"/>
  <c r="T470" i="5"/>
  <c r="U470" i="5"/>
  <c r="T471" i="5"/>
  <c r="U471" i="5"/>
  <c r="T472" i="5"/>
  <c r="U472" i="5"/>
  <c r="T473" i="5"/>
  <c r="U473" i="5"/>
  <c r="T474" i="5"/>
  <c r="U474" i="5"/>
  <c r="T475" i="5"/>
  <c r="U475" i="5"/>
  <c r="T476" i="5"/>
  <c r="U476" i="5"/>
  <c r="T477" i="5"/>
  <c r="U477" i="5"/>
  <c r="T478" i="5"/>
  <c r="U478" i="5"/>
  <c r="T479" i="5"/>
  <c r="U479" i="5"/>
  <c r="T480" i="5"/>
  <c r="U480" i="5"/>
  <c r="T481" i="5"/>
  <c r="U481" i="5"/>
  <c r="T482" i="5"/>
  <c r="U482" i="5"/>
  <c r="T483" i="5"/>
  <c r="U483" i="5"/>
  <c r="T484" i="5"/>
  <c r="U484" i="5"/>
  <c r="T485" i="5"/>
  <c r="U485" i="5"/>
  <c r="T486" i="5"/>
  <c r="U486" i="5"/>
  <c r="T487" i="5"/>
  <c r="U487" i="5"/>
  <c r="T488" i="5"/>
  <c r="U488" i="5"/>
  <c r="T489" i="5"/>
  <c r="U489" i="5"/>
  <c r="T490" i="5"/>
  <c r="U490" i="5"/>
  <c r="T491" i="5"/>
  <c r="U491" i="5"/>
  <c r="T492" i="5"/>
  <c r="U492" i="5"/>
  <c r="T493" i="5"/>
  <c r="U493" i="5"/>
  <c r="T494" i="5"/>
  <c r="U494" i="5"/>
  <c r="T495" i="5"/>
  <c r="U495" i="5"/>
  <c r="T496" i="5"/>
  <c r="U496" i="5"/>
  <c r="T497" i="5"/>
  <c r="U497" i="5"/>
  <c r="T498" i="5"/>
  <c r="U498" i="5"/>
  <c r="T499" i="5"/>
  <c r="U499" i="5"/>
  <c r="T500" i="5"/>
  <c r="U500" i="5"/>
  <c r="T501" i="5"/>
  <c r="U501" i="5"/>
  <c r="T502" i="5"/>
  <c r="U502" i="5"/>
  <c r="T503" i="5"/>
  <c r="U503" i="5"/>
  <c r="T504" i="5"/>
  <c r="U504" i="5"/>
  <c r="T505" i="5"/>
  <c r="U505" i="5"/>
  <c r="T506" i="5"/>
  <c r="U506" i="5"/>
  <c r="T507" i="5"/>
  <c r="U507" i="5"/>
  <c r="T508" i="5"/>
  <c r="U508" i="5"/>
  <c r="T509" i="5"/>
  <c r="U509" i="5"/>
  <c r="T510" i="5"/>
  <c r="U510" i="5"/>
  <c r="T511" i="5"/>
  <c r="U511" i="5"/>
  <c r="T512" i="5"/>
  <c r="U512" i="5"/>
  <c r="T513" i="5"/>
  <c r="U513" i="5"/>
  <c r="T514" i="5"/>
  <c r="U514" i="5"/>
  <c r="T515" i="5"/>
  <c r="U515" i="5"/>
  <c r="T516" i="5"/>
  <c r="U516" i="5"/>
  <c r="T517" i="5"/>
  <c r="U517" i="5"/>
  <c r="T518" i="5"/>
  <c r="U518" i="5"/>
  <c r="T519" i="5"/>
  <c r="U519" i="5"/>
  <c r="T520" i="5"/>
  <c r="U520" i="5"/>
  <c r="T521" i="5"/>
  <c r="U521" i="5"/>
  <c r="T522" i="5"/>
  <c r="U522" i="5"/>
  <c r="T523" i="5"/>
  <c r="U523" i="5"/>
  <c r="T524" i="5"/>
  <c r="U524" i="5"/>
  <c r="T525" i="5"/>
  <c r="U525" i="5"/>
  <c r="T526" i="5"/>
  <c r="U526" i="5"/>
  <c r="T527" i="5"/>
  <c r="U527" i="5"/>
  <c r="T528" i="5"/>
  <c r="U528" i="5"/>
  <c r="T529" i="5"/>
  <c r="U529" i="5"/>
  <c r="T530" i="5"/>
  <c r="U530" i="5"/>
  <c r="T531" i="5"/>
  <c r="U531" i="5"/>
  <c r="T532" i="5"/>
  <c r="U532" i="5"/>
  <c r="T533" i="5"/>
  <c r="U533" i="5"/>
  <c r="T534" i="5"/>
  <c r="U534" i="5"/>
  <c r="T535" i="5"/>
  <c r="U535" i="5"/>
  <c r="T536" i="5"/>
  <c r="U536" i="5"/>
  <c r="T537" i="5"/>
  <c r="U537" i="5"/>
  <c r="T538" i="5"/>
  <c r="U538" i="5"/>
  <c r="T539" i="5"/>
  <c r="U539" i="5"/>
  <c r="T540" i="5"/>
  <c r="U540" i="5"/>
  <c r="T541" i="5"/>
  <c r="U541" i="5"/>
  <c r="T542" i="5"/>
  <c r="U542" i="5"/>
  <c r="T543" i="5"/>
  <c r="U543" i="5"/>
  <c r="T544" i="5"/>
  <c r="U544" i="5"/>
  <c r="T545" i="5"/>
  <c r="U545" i="5"/>
  <c r="T546" i="5"/>
  <c r="U546" i="5"/>
  <c r="T547" i="5"/>
  <c r="U547" i="5"/>
  <c r="T548" i="5"/>
  <c r="U548" i="5"/>
  <c r="T549" i="5"/>
  <c r="U549" i="5"/>
  <c r="T550" i="5"/>
  <c r="U550" i="5"/>
  <c r="T551" i="5"/>
  <c r="U551" i="5"/>
  <c r="T552" i="5"/>
  <c r="U552" i="5"/>
  <c r="T553" i="5"/>
  <c r="U553" i="5"/>
  <c r="T554" i="5"/>
  <c r="U554" i="5"/>
  <c r="T555" i="5"/>
  <c r="U555" i="5"/>
  <c r="T556" i="5"/>
  <c r="U556" i="5"/>
  <c r="T557" i="5"/>
  <c r="U557" i="5"/>
  <c r="T558" i="5"/>
  <c r="U558" i="5"/>
  <c r="T559" i="5"/>
  <c r="U559" i="5"/>
  <c r="T560" i="5"/>
  <c r="U560" i="5"/>
  <c r="T561" i="5"/>
  <c r="U561" i="5"/>
  <c r="T562" i="5"/>
  <c r="U562" i="5"/>
  <c r="T563" i="5"/>
  <c r="U563" i="5"/>
  <c r="T564" i="5"/>
  <c r="U564" i="5"/>
  <c r="T565" i="5"/>
  <c r="U565" i="5"/>
  <c r="T566" i="5"/>
  <c r="U566" i="5"/>
  <c r="T567" i="5"/>
  <c r="U567" i="5"/>
  <c r="T568" i="5"/>
  <c r="U568" i="5"/>
  <c r="T569" i="5"/>
  <c r="U569" i="5"/>
  <c r="T570" i="5"/>
  <c r="U570" i="5"/>
  <c r="T571" i="5"/>
  <c r="U571" i="5"/>
  <c r="T572" i="5"/>
  <c r="U572" i="5"/>
  <c r="T573" i="5"/>
  <c r="U573" i="5"/>
  <c r="T574" i="5"/>
  <c r="U574" i="5"/>
  <c r="T575" i="5"/>
  <c r="U575" i="5"/>
  <c r="T576" i="5"/>
  <c r="U576" i="5"/>
  <c r="T577" i="5"/>
  <c r="U577" i="5"/>
  <c r="T578" i="5"/>
  <c r="U578" i="5"/>
  <c r="T579" i="5"/>
  <c r="U579" i="5"/>
  <c r="T580" i="5"/>
  <c r="U580" i="5"/>
  <c r="T581" i="5"/>
  <c r="U581" i="5"/>
  <c r="T582" i="5"/>
  <c r="U582" i="5"/>
  <c r="T583" i="5"/>
  <c r="U583" i="5"/>
  <c r="T584" i="5"/>
  <c r="U584" i="5"/>
  <c r="T585" i="5"/>
  <c r="U585" i="5"/>
  <c r="T586" i="5"/>
  <c r="U586" i="5"/>
  <c r="T587" i="5"/>
  <c r="U587" i="5"/>
  <c r="T588" i="5"/>
  <c r="U588" i="5"/>
  <c r="T589" i="5"/>
  <c r="U589" i="5"/>
  <c r="T590" i="5"/>
  <c r="U590" i="5"/>
  <c r="T591" i="5"/>
  <c r="U591" i="5"/>
  <c r="T592" i="5"/>
  <c r="U592" i="5"/>
  <c r="T593" i="5"/>
  <c r="U593" i="5"/>
  <c r="T594" i="5"/>
  <c r="U594" i="5"/>
  <c r="T595" i="5"/>
  <c r="U595" i="5"/>
  <c r="T596" i="5"/>
  <c r="U596" i="5"/>
  <c r="T597" i="5"/>
  <c r="U597" i="5"/>
  <c r="T598" i="5"/>
  <c r="U598" i="5"/>
  <c r="T599" i="5"/>
  <c r="U599" i="5"/>
  <c r="T600" i="5"/>
  <c r="U600" i="5"/>
  <c r="T601" i="5"/>
  <c r="U601" i="5"/>
  <c r="T602" i="5"/>
  <c r="U602" i="5"/>
  <c r="T603" i="5"/>
  <c r="U603" i="5"/>
  <c r="T5" i="5"/>
  <c r="O5" i="5" s="1"/>
  <c r="U5" i="5"/>
  <c r="T6" i="5"/>
  <c r="O6" i="5" s="1"/>
  <c r="U6" i="5"/>
  <c r="T7" i="5"/>
  <c r="O7" i="5" s="1"/>
  <c r="U7" i="5"/>
  <c r="T8" i="5"/>
  <c r="O8" i="5" s="1"/>
  <c r="U8" i="5"/>
  <c r="T9" i="5"/>
  <c r="O9" i="5" s="1"/>
  <c r="U9" i="5"/>
  <c r="T10" i="5"/>
  <c r="O10" i="5" s="1"/>
  <c r="U10" i="5"/>
  <c r="T11" i="5"/>
  <c r="O11" i="5" s="1"/>
  <c r="U11" i="5"/>
  <c r="T12" i="5"/>
  <c r="O12" i="5" s="1"/>
  <c r="U12" i="5"/>
  <c r="T13" i="5"/>
  <c r="O13" i="5" s="1"/>
  <c r="U13" i="5"/>
  <c r="T14" i="5"/>
  <c r="O14" i="5" s="1"/>
  <c r="U14" i="5"/>
  <c r="T15" i="5"/>
  <c r="O15" i="5" s="1"/>
  <c r="U15" i="5"/>
  <c r="T16" i="5"/>
  <c r="U16" i="5"/>
  <c r="T17" i="5"/>
  <c r="U17" i="5"/>
  <c r="T18" i="5"/>
  <c r="U18" i="5"/>
  <c r="T19" i="5"/>
  <c r="U19" i="5"/>
  <c r="T20" i="5"/>
  <c r="U20" i="5"/>
  <c r="T21" i="5"/>
  <c r="U21" i="5"/>
  <c r="T22" i="5"/>
  <c r="U22" i="5"/>
  <c r="T23" i="5"/>
  <c r="U23" i="5"/>
  <c r="T24" i="5"/>
  <c r="U24" i="5"/>
  <c r="T25" i="5"/>
  <c r="U25" i="5"/>
  <c r="T26" i="5"/>
  <c r="U26" i="5"/>
  <c r="T27" i="5"/>
  <c r="U27" i="5"/>
  <c r="T28" i="5"/>
  <c r="U28" i="5"/>
  <c r="T29" i="5"/>
  <c r="U29" i="5"/>
  <c r="T30" i="5"/>
  <c r="U30" i="5"/>
  <c r="T31" i="5"/>
  <c r="U31" i="5"/>
  <c r="T32" i="5"/>
  <c r="U32" i="5"/>
  <c r="T33" i="5"/>
  <c r="U33" i="5"/>
  <c r="T34" i="5"/>
  <c r="U34" i="5"/>
  <c r="T35" i="5"/>
  <c r="U35" i="5"/>
  <c r="T36" i="5"/>
  <c r="U36" i="5"/>
  <c r="T37" i="5"/>
  <c r="U37" i="5"/>
  <c r="T38" i="5"/>
  <c r="U38" i="5"/>
  <c r="T39" i="5"/>
  <c r="U39" i="5"/>
  <c r="T40" i="5"/>
  <c r="U40" i="5"/>
  <c r="T41" i="5"/>
  <c r="U41" i="5"/>
  <c r="T42" i="5"/>
  <c r="U42" i="5"/>
  <c r="T43" i="5"/>
  <c r="U43" i="5"/>
  <c r="T44" i="5"/>
  <c r="U44" i="5"/>
  <c r="T45" i="5"/>
  <c r="U45" i="5"/>
  <c r="T46" i="5"/>
  <c r="U46" i="5"/>
  <c r="T47" i="5"/>
  <c r="U47" i="5"/>
  <c r="T48" i="5"/>
  <c r="U48" i="5"/>
  <c r="T49" i="5"/>
  <c r="U49" i="5"/>
  <c r="T50" i="5"/>
  <c r="U50" i="5"/>
  <c r="T51" i="5"/>
  <c r="U51" i="5"/>
  <c r="T52" i="5"/>
  <c r="U52" i="5"/>
  <c r="T53" i="5"/>
  <c r="U53" i="5"/>
  <c r="T54" i="5"/>
  <c r="U54" i="5"/>
  <c r="T55" i="5"/>
  <c r="U55" i="5"/>
  <c r="T56" i="5"/>
  <c r="U56" i="5"/>
  <c r="T57" i="5"/>
  <c r="U57" i="5"/>
  <c r="T58" i="5"/>
  <c r="U58" i="5"/>
  <c r="T59" i="5"/>
  <c r="U59" i="5"/>
  <c r="T60" i="5"/>
  <c r="U60" i="5"/>
  <c r="T61" i="5"/>
  <c r="U61" i="5"/>
  <c r="T62" i="5"/>
  <c r="U62" i="5"/>
  <c r="T63" i="5"/>
  <c r="U63" i="5"/>
  <c r="T64" i="5"/>
  <c r="W64" i="5" s="1"/>
  <c r="U64" i="5"/>
  <c r="T65" i="5"/>
  <c r="W65" i="5" s="1"/>
  <c r="U65" i="5"/>
  <c r="T66" i="5"/>
  <c r="W66" i="5" s="1"/>
  <c r="U66" i="5"/>
  <c r="T67" i="5"/>
  <c r="W67" i="5" s="1"/>
  <c r="U67" i="5"/>
  <c r="T68" i="5"/>
  <c r="W68" i="5" s="1"/>
  <c r="U68" i="5"/>
  <c r="T69" i="5"/>
  <c r="W69" i="5" s="1"/>
  <c r="U69" i="5"/>
  <c r="T70" i="5"/>
  <c r="W70" i="5" s="1"/>
  <c r="U70" i="5"/>
  <c r="T71" i="5"/>
  <c r="W71" i="5" s="1"/>
  <c r="U71" i="5"/>
  <c r="T72" i="5"/>
  <c r="W72" i="5" s="1"/>
  <c r="U72" i="5"/>
  <c r="T73" i="5"/>
  <c r="W73" i="5" s="1"/>
  <c r="U73" i="5"/>
  <c r="T74" i="5"/>
  <c r="W74" i="5" s="1"/>
  <c r="U74" i="5"/>
  <c r="T75" i="5"/>
  <c r="W75" i="5" s="1"/>
  <c r="U75" i="5"/>
  <c r="T76" i="5"/>
  <c r="W76" i="5" s="1"/>
  <c r="U76" i="5"/>
  <c r="T77" i="5"/>
  <c r="W77" i="5" s="1"/>
  <c r="U77" i="5"/>
  <c r="T78" i="5"/>
  <c r="W78" i="5" s="1"/>
  <c r="U78" i="5"/>
  <c r="T79" i="5"/>
  <c r="W79" i="5" s="1"/>
  <c r="U79" i="5"/>
  <c r="T80" i="5"/>
  <c r="W80" i="5" s="1"/>
  <c r="U80" i="5"/>
  <c r="T81" i="5"/>
  <c r="W81" i="5" s="1"/>
  <c r="U81" i="5"/>
  <c r="T82" i="5"/>
  <c r="W82" i="5" s="1"/>
  <c r="U82" i="5"/>
  <c r="T83" i="5"/>
  <c r="W83" i="5" s="1"/>
  <c r="U83" i="5"/>
  <c r="T84" i="5"/>
  <c r="W84" i="5" s="1"/>
  <c r="U84" i="5"/>
  <c r="T85" i="5"/>
  <c r="W85" i="5" s="1"/>
  <c r="U85" i="5"/>
  <c r="T86" i="5"/>
  <c r="W86" i="5" s="1"/>
  <c r="U86" i="5"/>
  <c r="T87" i="5"/>
  <c r="W87" i="5" s="1"/>
  <c r="U87" i="5"/>
  <c r="T88" i="5"/>
  <c r="W88" i="5" s="1"/>
  <c r="U88" i="5"/>
  <c r="T89" i="5"/>
  <c r="W89" i="5" s="1"/>
  <c r="U89" i="5"/>
  <c r="T90" i="5"/>
  <c r="W90" i="5" s="1"/>
  <c r="U90" i="5"/>
  <c r="T91" i="5"/>
  <c r="W91" i="5" s="1"/>
  <c r="U91" i="5"/>
  <c r="T92" i="5"/>
  <c r="W92" i="5" s="1"/>
  <c r="U92" i="5"/>
  <c r="T93" i="5"/>
  <c r="W93" i="5" s="1"/>
  <c r="U93" i="5"/>
  <c r="T94" i="5"/>
  <c r="W94" i="5" s="1"/>
  <c r="U94" i="5"/>
  <c r="T95" i="5"/>
  <c r="W95" i="5" s="1"/>
  <c r="U95" i="5"/>
  <c r="T96" i="5"/>
  <c r="W96" i="5" s="1"/>
  <c r="U96" i="5"/>
  <c r="T97" i="5"/>
  <c r="W97" i="5" s="1"/>
  <c r="U97" i="5"/>
  <c r="T98" i="5"/>
  <c r="W98" i="5" s="1"/>
  <c r="U98" i="5"/>
  <c r="T99" i="5"/>
  <c r="W99" i="5" s="1"/>
  <c r="U99" i="5"/>
  <c r="T100" i="5"/>
  <c r="W100" i="5" s="1"/>
  <c r="U100" i="5"/>
  <c r="T101" i="5"/>
  <c r="W101" i="5" s="1"/>
  <c r="U101" i="5"/>
  <c r="T102" i="5"/>
  <c r="W102" i="5" s="1"/>
  <c r="U102" i="5"/>
  <c r="T103" i="5"/>
  <c r="W103" i="5" s="1"/>
  <c r="U103" i="5"/>
  <c r="T104" i="5"/>
  <c r="W104" i="5" s="1"/>
  <c r="U104" i="5"/>
  <c r="T105" i="5"/>
  <c r="W105" i="5" s="1"/>
  <c r="U105" i="5"/>
  <c r="T106" i="5"/>
  <c r="W106" i="5" s="1"/>
  <c r="U106" i="5"/>
  <c r="T107" i="5"/>
  <c r="W107" i="5" s="1"/>
  <c r="U107" i="5"/>
  <c r="T108" i="5"/>
  <c r="W108" i="5" s="1"/>
  <c r="U108" i="5"/>
  <c r="T109" i="5"/>
  <c r="W109" i="5" s="1"/>
  <c r="U109" i="5"/>
  <c r="T110" i="5"/>
  <c r="W110" i="5" s="1"/>
  <c r="U110" i="5"/>
  <c r="T111" i="5"/>
  <c r="W111" i="5" s="1"/>
  <c r="U111" i="5"/>
  <c r="T112" i="5"/>
  <c r="W112" i="5" s="1"/>
  <c r="U112" i="5"/>
  <c r="T113" i="5"/>
  <c r="W113" i="5" s="1"/>
  <c r="U113" i="5"/>
  <c r="T114" i="5"/>
  <c r="W114" i="5" s="1"/>
  <c r="U114" i="5"/>
  <c r="T115" i="5"/>
  <c r="W115" i="5" s="1"/>
  <c r="U115" i="5"/>
  <c r="T116" i="5"/>
  <c r="W116" i="5" s="1"/>
  <c r="U116" i="5"/>
  <c r="T117" i="5"/>
  <c r="W117" i="5" s="1"/>
  <c r="U117" i="5"/>
  <c r="T118" i="5"/>
  <c r="W118" i="5" s="1"/>
  <c r="U118" i="5"/>
  <c r="T119" i="5"/>
  <c r="W119" i="5" s="1"/>
  <c r="U119" i="5"/>
  <c r="T120" i="5"/>
  <c r="W120" i="5" s="1"/>
  <c r="U120" i="5"/>
  <c r="T121" i="5"/>
  <c r="W121" i="5" s="1"/>
  <c r="U121" i="5"/>
  <c r="T122" i="5"/>
  <c r="W122" i="5" s="1"/>
  <c r="U122" i="5"/>
  <c r="T123" i="5"/>
  <c r="W123" i="5" s="1"/>
  <c r="U123" i="5"/>
  <c r="T124" i="5"/>
  <c r="W124" i="5" s="1"/>
  <c r="U124" i="5"/>
  <c r="T125" i="5"/>
  <c r="W125" i="5" s="1"/>
  <c r="U125" i="5"/>
  <c r="T126" i="5"/>
  <c r="W126" i="5" s="1"/>
  <c r="U126" i="5"/>
  <c r="T127" i="5"/>
  <c r="W127" i="5" s="1"/>
  <c r="U127" i="5"/>
  <c r="T128" i="5"/>
  <c r="W128" i="5" s="1"/>
  <c r="U128" i="5"/>
  <c r="T129" i="5"/>
  <c r="W129" i="5" s="1"/>
  <c r="U129" i="5"/>
  <c r="T130" i="5"/>
  <c r="W130" i="5" s="1"/>
  <c r="U130" i="5"/>
  <c r="T131" i="5"/>
  <c r="W131" i="5" s="1"/>
  <c r="U131" i="5"/>
  <c r="T132" i="5"/>
  <c r="W132" i="5" s="1"/>
  <c r="U132" i="5"/>
  <c r="T133" i="5"/>
  <c r="W133" i="5" s="1"/>
  <c r="U133" i="5"/>
  <c r="T134" i="5"/>
  <c r="W134" i="5" s="1"/>
  <c r="U134" i="5"/>
  <c r="T135" i="5"/>
  <c r="W135" i="5" s="1"/>
  <c r="U135" i="5"/>
  <c r="T136" i="5"/>
  <c r="W136" i="5" s="1"/>
  <c r="U136" i="5"/>
  <c r="T137" i="5"/>
  <c r="W137" i="5" s="1"/>
  <c r="U137" i="5"/>
  <c r="T138" i="5"/>
  <c r="W138" i="5" s="1"/>
  <c r="U138" i="5"/>
  <c r="T139" i="5"/>
  <c r="W139" i="5" s="1"/>
  <c r="U139" i="5"/>
  <c r="T140" i="5"/>
  <c r="W140" i="5" s="1"/>
  <c r="U140" i="5"/>
  <c r="T141" i="5"/>
  <c r="W141" i="5" s="1"/>
  <c r="U141" i="5"/>
  <c r="T142" i="5"/>
  <c r="W142" i="5" s="1"/>
  <c r="U142" i="5"/>
  <c r="T143" i="5"/>
  <c r="W143" i="5" s="1"/>
  <c r="U143" i="5"/>
  <c r="T144" i="5"/>
  <c r="W144" i="5" s="1"/>
  <c r="U144" i="5"/>
  <c r="T145" i="5"/>
  <c r="W145" i="5" s="1"/>
  <c r="U145" i="5"/>
  <c r="T146" i="5"/>
  <c r="U146" i="5"/>
  <c r="T147" i="5"/>
  <c r="U147" i="5"/>
  <c r="T148" i="5"/>
  <c r="U148" i="5"/>
  <c r="T149" i="5"/>
  <c r="U149" i="5"/>
  <c r="T150" i="5"/>
  <c r="U150" i="5"/>
  <c r="T151" i="5"/>
  <c r="U151" i="5"/>
  <c r="T152" i="5"/>
  <c r="U152" i="5"/>
  <c r="T153" i="5"/>
  <c r="U153" i="5"/>
  <c r="T154" i="5"/>
  <c r="U154" i="5"/>
  <c r="T155" i="5"/>
  <c r="U155" i="5"/>
  <c r="T156" i="5"/>
  <c r="U156" i="5"/>
  <c r="T157" i="5"/>
  <c r="U157" i="5"/>
  <c r="T158" i="5"/>
  <c r="U158" i="5"/>
  <c r="T159" i="5"/>
  <c r="U159" i="5"/>
  <c r="T160" i="5"/>
  <c r="U160" i="5"/>
  <c r="T161" i="5"/>
  <c r="U161" i="5"/>
  <c r="T162" i="5"/>
  <c r="U162" i="5"/>
  <c r="T163" i="5"/>
  <c r="U163" i="5"/>
  <c r="T164" i="5"/>
  <c r="U164" i="5"/>
  <c r="T165" i="5"/>
  <c r="U165" i="5"/>
  <c r="T166" i="5"/>
  <c r="U166" i="5"/>
  <c r="T167" i="5"/>
  <c r="U167" i="5"/>
  <c r="T168" i="5"/>
  <c r="U168" i="5"/>
  <c r="T4" i="5"/>
  <c r="O4" i="5" s="1"/>
  <c r="U4" i="5"/>
  <c r="V2" i="5"/>
  <c r="F1" i="5"/>
  <c r="H5" i="5"/>
  <c r="H6" i="5"/>
  <c r="E6" i="5" s="1"/>
  <c r="H7" i="5"/>
  <c r="E7" i="5" s="1"/>
  <c r="H8" i="5"/>
  <c r="E8" i="5" s="1"/>
  <c r="H9" i="5"/>
  <c r="E9" i="5" s="1"/>
  <c r="H10" i="5"/>
  <c r="E10" i="5" s="1"/>
  <c r="H11" i="5"/>
  <c r="E11" i="5" s="1"/>
  <c r="H12" i="5"/>
  <c r="E12" i="5" s="1"/>
  <c r="H13" i="5"/>
  <c r="E13" i="5" s="1"/>
  <c r="H14" i="5"/>
  <c r="E14" i="5" s="1"/>
  <c r="H15" i="5"/>
  <c r="E15" i="5" s="1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J66" i="5" s="1"/>
  <c r="H67" i="5"/>
  <c r="H68" i="5"/>
  <c r="H69" i="5"/>
  <c r="H70" i="5"/>
  <c r="J70" i="5" s="1"/>
  <c r="H71" i="5"/>
  <c r="H72" i="5"/>
  <c r="H73" i="5"/>
  <c r="J73" i="5" s="1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J86" i="5" s="1"/>
  <c r="H87" i="5"/>
  <c r="H88" i="5"/>
  <c r="H89" i="5"/>
  <c r="H90" i="5"/>
  <c r="H91" i="5"/>
  <c r="H92" i="5"/>
  <c r="H93" i="5"/>
  <c r="H94" i="5"/>
  <c r="J94" i="5" s="1"/>
  <c r="H95" i="5"/>
  <c r="H96" i="5"/>
  <c r="H97" i="5"/>
  <c r="H98" i="5"/>
  <c r="J98" i="5" s="1"/>
  <c r="H99" i="5"/>
  <c r="H100" i="5"/>
  <c r="H101" i="5"/>
  <c r="H102" i="5"/>
  <c r="H103" i="5"/>
  <c r="H104" i="5"/>
  <c r="H105" i="5"/>
  <c r="J105" i="5" s="1"/>
  <c r="H106" i="5"/>
  <c r="H107" i="5"/>
  <c r="H108" i="5"/>
  <c r="H109" i="5"/>
  <c r="H110" i="5"/>
  <c r="H111" i="5"/>
  <c r="H112" i="5"/>
  <c r="H113" i="5"/>
  <c r="H114" i="5"/>
  <c r="J114" i="5" s="1"/>
  <c r="H115" i="5"/>
  <c r="H116" i="5"/>
  <c r="H117" i="5"/>
  <c r="H118" i="5"/>
  <c r="H119" i="5"/>
  <c r="H120" i="5"/>
  <c r="H121" i="5"/>
  <c r="H122" i="5"/>
  <c r="H123" i="5"/>
  <c r="H124" i="5"/>
  <c r="H125" i="5"/>
  <c r="H126" i="5"/>
  <c r="J126" i="5" s="1"/>
  <c r="H127" i="5"/>
  <c r="H128" i="5"/>
  <c r="H129" i="5"/>
  <c r="H130" i="5"/>
  <c r="J130" i="5" s="1"/>
  <c r="H131" i="5"/>
  <c r="H132" i="5"/>
  <c r="H133" i="5"/>
  <c r="H134" i="5"/>
  <c r="H135" i="5"/>
  <c r="H136" i="5"/>
  <c r="H137" i="5"/>
  <c r="J137" i="5" s="1"/>
  <c r="H138" i="5"/>
  <c r="H139" i="5"/>
  <c r="H140" i="5"/>
  <c r="H141" i="5"/>
  <c r="H142" i="5"/>
  <c r="J142" i="5" s="1"/>
  <c r="H143" i="5"/>
  <c r="H144" i="5"/>
  <c r="H145" i="5"/>
  <c r="H146" i="5"/>
  <c r="H147" i="5"/>
  <c r="H148" i="5"/>
  <c r="H149" i="5"/>
  <c r="H150" i="5"/>
  <c r="J150" i="5" s="1"/>
  <c r="H151" i="5"/>
  <c r="H152" i="5"/>
  <c r="H153" i="5"/>
  <c r="H154" i="5"/>
  <c r="H155" i="5"/>
  <c r="H156" i="5"/>
  <c r="H157" i="5"/>
  <c r="H158" i="5"/>
  <c r="J158" i="5" s="1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J193" i="5" s="1"/>
  <c r="H194" i="5"/>
  <c r="H195" i="5"/>
  <c r="H196" i="5"/>
  <c r="H197" i="5"/>
  <c r="H198" i="5"/>
  <c r="J198" i="5" s="1"/>
  <c r="H199" i="5"/>
  <c r="H200" i="5"/>
  <c r="H201" i="5"/>
  <c r="H202" i="5"/>
  <c r="H203" i="5"/>
  <c r="H204" i="5"/>
  <c r="J204" i="5" s="1"/>
  <c r="H205" i="5"/>
  <c r="H206" i="5"/>
  <c r="H207" i="5"/>
  <c r="H208" i="5"/>
  <c r="H209" i="5"/>
  <c r="H210" i="5"/>
  <c r="H211" i="5"/>
  <c r="H212" i="5"/>
  <c r="H213" i="5"/>
  <c r="H214" i="5"/>
  <c r="J214" i="5" s="1"/>
  <c r="H215" i="5"/>
  <c r="H216" i="5"/>
  <c r="H217" i="5"/>
  <c r="H218" i="5"/>
  <c r="H219" i="5"/>
  <c r="H220" i="5"/>
  <c r="H221" i="5"/>
  <c r="H222" i="5"/>
  <c r="H223" i="5"/>
  <c r="H224" i="5"/>
  <c r="H225" i="5"/>
  <c r="J225" i="5" s="1"/>
  <c r="H226" i="5"/>
  <c r="H227" i="5"/>
  <c r="H228" i="5"/>
  <c r="H229" i="5"/>
  <c r="H230" i="5"/>
  <c r="J230" i="5" s="1"/>
  <c r="H231" i="5"/>
  <c r="H232" i="5"/>
  <c r="H233" i="5"/>
  <c r="H234" i="5"/>
  <c r="H235" i="5"/>
  <c r="H236" i="5"/>
  <c r="H237" i="5"/>
  <c r="H238" i="5"/>
  <c r="J238" i="5" s="1"/>
  <c r="H239" i="5"/>
  <c r="H240" i="5"/>
  <c r="H241" i="5"/>
  <c r="H242" i="5"/>
  <c r="H243" i="5"/>
  <c r="H244" i="5"/>
  <c r="H245" i="5"/>
  <c r="H246" i="5"/>
  <c r="J246" i="5" s="1"/>
  <c r="H247" i="5"/>
  <c r="H248" i="5"/>
  <c r="H249" i="5"/>
  <c r="J249" i="5" s="1"/>
  <c r="H250" i="5"/>
  <c r="H251" i="5"/>
  <c r="H252" i="5"/>
  <c r="H253" i="5"/>
  <c r="H254" i="5"/>
  <c r="H255" i="5"/>
  <c r="H256" i="5"/>
  <c r="H257" i="5"/>
  <c r="J257" i="5" s="1"/>
  <c r="H258" i="5"/>
  <c r="H259" i="5"/>
  <c r="H260" i="5"/>
  <c r="J260" i="5" s="1"/>
  <c r="H261" i="5"/>
  <c r="H262" i="5"/>
  <c r="H263" i="5"/>
  <c r="H264" i="5"/>
  <c r="H265" i="5"/>
  <c r="H266" i="5"/>
  <c r="H267" i="5"/>
  <c r="H268" i="5"/>
  <c r="H269" i="5"/>
  <c r="H270" i="5"/>
  <c r="J270" i="5" s="1"/>
  <c r="H271" i="5"/>
  <c r="H272" i="5"/>
  <c r="H273" i="5"/>
  <c r="H274" i="5"/>
  <c r="H275" i="5"/>
  <c r="H276" i="5"/>
  <c r="H277" i="5"/>
  <c r="H278" i="5"/>
  <c r="J278" i="5" s="1"/>
  <c r="H279" i="5"/>
  <c r="H280" i="5"/>
  <c r="H281" i="5"/>
  <c r="J281" i="5" s="1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J294" i="5" s="1"/>
  <c r="H295" i="5"/>
  <c r="H296" i="5"/>
  <c r="H297" i="5"/>
  <c r="H298" i="5"/>
  <c r="H299" i="5"/>
  <c r="H300" i="5"/>
  <c r="H301" i="5"/>
  <c r="H302" i="5"/>
  <c r="J302" i="5" s="1"/>
  <c r="H303" i="5"/>
  <c r="H304" i="5"/>
  <c r="H305" i="5"/>
  <c r="J305" i="5" s="1"/>
  <c r="H306" i="5"/>
  <c r="H307" i="5"/>
  <c r="H308" i="5"/>
  <c r="H309" i="5"/>
  <c r="H310" i="5"/>
  <c r="J310" i="5" s="1"/>
  <c r="H311" i="5"/>
  <c r="H312" i="5"/>
  <c r="H313" i="5"/>
  <c r="J313" i="5" s="1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J326" i="5" s="1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J350" i="5" s="1"/>
  <c r="H351" i="5"/>
  <c r="H352" i="5"/>
  <c r="H353" i="5"/>
  <c r="H354" i="5"/>
  <c r="H355" i="5"/>
  <c r="H356" i="5"/>
  <c r="H357" i="5"/>
  <c r="H358" i="5"/>
  <c r="J358" i="5" s="1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J383" i="5" s="1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J406" i="5" s="1"/>
  <c r="H407" i="5"/>
  <c r="H408" i="5"/>
  <c r="H409" i="5"/>
  <c r="H410" i="5"/>
  <c r="H411" i="5"/>
  <c r="H412" i="5"/>
  <c r="J412" i="5" s="1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J428" i="5" s="1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J463" i="5" s="1"/>
  <c r="H464" i="5"/>
  <c r="H465" i="5"/>
  <c r="H466" i="5"/>
  <c r="H467" i="5"/>
  <c r="H468" i="5"/>
  <c r="H469" i="5"/>
  <c r="H470" i="5"/>
  <c r="H471" i="5"/>
  <c r="J471" i="5" s="1"/>
  <c r="H472" i="5"/>
  <c r="H473" i="5"/>
  <c r="H474" i="5"/>
  <c r="H475" i="5"/>
  <c r="H476" i="5"/>
  <c r="H477" i="5"/>
  <c r="H478" i="5"/>
  <c r="H479" i="5"/>
  <c r="J479" i="5" s="1"/>
  <c r="H480" i="5"/>
  <c r="H481" i="5"/>
  <c r="H482" i="5"/>
  <c r="H483" i="5"/>
  <c r="J483" i="5" s="1"/>
  <c r="H484" i="5"/>
  <c r="H485" i="5"/>
  <c r="H486" i="5"/>
  <c r="H487" i="5"/>
  <c r="J487" i="5" s="1"/>
  <c r="H488" i="5"/>
  <c r="H489" i="5"/>
  <c r="H490" i="5"/>
  <c r="H491" i="5"/>
  <c r="J491" i="5" s="1"/>
  <c r="H492" i="5"/>
  <c r="H493" i="5"/>
  <c r="H494" i="5"/>
  <c r="H495" i="5"/>
  <c r="H496" i="5"/>
  <c r="H497" i="5"/>
  <c r="H498" i="5"/>
  <c r="H499" i="5"/>
  <c r="H500" i="5"/>
  <c r="H501" i="5"/>
  <c r="H502" i="5"/>
  <c r="H503" i="5"/>
  <c r="J503" i="5" s="1"/>
  <c r="H504" i="5"/>
  <c r="H505" i="5"/>
  <c r="H506" i="5"/>
  <c r="H507" i="5"/>
  <c r="H508" i="5"/>
  <c r="H509" i="5"/>
  <c r="H510" i="5"/>
  <c r="H511" i="5"/>
  <c r="J511" i="5" s="1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J527" i="5" s="1"/>
  <c r="H528" i="5"/>
  <c r="H529" i="5"/>
  <c r="H530" i="5"/>
  <c r="H531" i="5"/>
  <c r="J531" i="5" s="1"/>
  <c r="H532" i="5"/>
  <c r="H533" i="5"/>
  <c r="H534" i="5"/>
  <c r="H535" i="5"/>
  <c r="J535" i="5" s="1"/>
  <c r="H536" i="5"/>
  <c r="H537" i="5"/>
  <c r="H538" i="5"/>
  <c r="H539" i="5"/>
  <c r="H540" i="5"/>
  <c r="H541" i="5"/>
  <c r="H542" i="5"/>
  <c r="H543" i="5"/>
  <c r="J543" i="5" s="1"/>
  <c r="H544" i="5"/>
  <c r="H545" i="5"/>
  <c r="H546" i="5"/>
  <c r="H547" i="5"/>
  <c r="J547" i="5" s="1"/>
  <c r="H548" i="5"/>
  <c r="H549" i="5"/>
  <c r="H550" i="5"/>
  <c r="H551" i="5"/>
  <c r="J551" i="5" s="1"/>
  <c r="H552" i="5"/>
  <c r="H553" i="5"/>
  <c r="H554" i="5"/>
  <c r="H555" i="5"/>
  <c r="J555" i="5" s="1"/>
  <c r="H556" i="5"/>
  <c r="J556" i="5" s="1"/>
  <c r="H557" i="5"/>
  <c r="H558" i="5"/>
  <c r="H559" i="5"/>
  <c r="H560" i="5"/>
  <c r="H561" i="5"/>
  <c r="H562" i="5"/>
  <c r="H563" i="5"/>
  <c r="H564" i="5"/>
  <c r="H565" i="5"/>
  <c r="H566" i="5"/>
  <c r="H567" i="5"/>
  <c r="J567" i="5" s="1"/>
  <c r="H568" i="5"/>
  <c r="H569" i="5"/>
  <c r="H570" i="5"/>
  <c r="H571" i="5"/>
  <c r="H572" i="5"/>
  <c r="H573" i="5"/>
  <c r="H574" i="5"/>
  <c r="H575" i="5"/>
  <c r="J575" i="5" s="1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J591" i="5" s="1"/>
  <c r="H592" i="5"/>
  <c r="H593" i="5"/>
  <c r="H594" i="5"/>
  <c r="H595" i="5"/>
  <c r="H596" i="5"/>
  <c r="H597" i="5"/>
  <c r="H598" i="5"/>
  <c r="H599" i="5"/>
  <c r="J599" i="5" s="1"/>
  <c r="H600" i="5"/>
  <c r="H601" i="5"/>
  <c r="H602" i="5"/>
  <c r="H603" i="5"/>
  <c r="H4" i="5"/>
  <c r="X15" i="5" l="1"/>
  <c r="Q10" i="5"/>
  <c r="Q9" i="5"/>
  <c r="Q8" i="5"/>
  <c r="Q15" i="5"/>
  <c r="Q7" i="5"/>
  <c r="Q14" i="5"/>
  <c r="Q6" i="5"/>
  <c r="Q13" i="5"/>
  <c r="Q5" i="5"/>
  <c r="Q4" i="5"/>
  <c r="Q12" i="5"/>
  <c r="Q11" i="5"/>
  <c r="J600" i="5"/>
  <c r="J576" i="5"/>
  <c r="J536" i="5"/>
  <c r="J504" i="5"/>
  <c r="J464" i="5"/>
  <c r="J448" i="5"/>
  <c r="J592" i="5"/>
  <c r="J512" i="5"/>
  <c r="J472" i="5"/>
  <c r="J440" i="5"/>
  <c r="J568" i="5"/>
  <c r="J528" i="5"/>
  <c r="J488" i="5"/>
  <c r="J424" i="5"/>
  <c r="J552" i="5"/>
  <c r="J416" i="5"/>
  <c r="J376" i="5"/>
  <c r="J360" i="5"/>
  <c r="J344" i="5"/>
  <c r="J336" i="5"/>
  <c r="J304" i="5"/>
  <c r="J400" i="5"/>
  <c r="J384" i="5"/>
  <c r="J352" i="5"/>
  <c r="J232" i="5"/>
  <c r="J364" i="5"/>
  <c r="J182" i="5"/>
  <c r="J110" i="5"/>
  <c r="J492" i="5"/>
  <c r="J174" i="5"/>
  <c r="J342" i="5"/>
  <c r="J166" i="5"/>
  <c r="J78" i="5"/>
  <c r="J595" i="5"/>
  <c r="J316" i="5"/>
  <c r="J164" i="5"/>
  <c r="J76" i="5"/>
  <c r="J467" i="5"/>
  <c r="J289" i="5"/>
  <c r="J590" i="5"/>
  <c r="J550" i="5"/>
  <c r="J534" i="5"/>
  <c r="J510" i="5"/>
  <c r="J486" i="5"/>
  <c r="J454" i="5"/>
  <c r="J430" i="5"/>
  <c r="J398" i="5"/>
  <c r="J374" i="5"/>
  <c r="J597" i="5"/>
  <c r="J581" i="5"/>
  <c r="J565" i="5"/>
  <c r="J549" i="5"/>
  <c r="J541" i="5"/>
  <c r="J533" i="5"/>
  <c r="J525" i="5"/>
  <c r="J517" i="5"/>
  <c r="J509" i="5"/>
  <c r="J501" i="5"/>
  <c r="J493" i="5"/>
  <c r="J477" i="5"/>
  <c r="J469" i="5"/>
  <c r="J461" i="5"/>
  <c r="J453" i="5"/>
  <c r="J445" i="5"/>
  <c r="J437" i="5"/>
  <c r="J429" i="5"/>
  <c r="J421" i="5"/>
  <c r="J413" i="5"/>
  <c r="J405" i="5"/>
  <c r="J397" i="5"/>
  <c r="J389" i="5"/>
  <c r="J381" i="5"/>
  <c r="J373" i="5"/>
  <c r="J365" i="5"/>
  <c r="J357" i="5"/>
  <c r="J349" i="5"/>
  <c r="J341" i="5"/>
  <c r="J333" i="5"/>
  <c r="J325" i="5"/>
  <c r="J317" i="5"/>
  <c r="J309" i="5"/>
  <c r="J301" i="5"/>
  <c r="J293" i="5"/>
  <c r="J285" i="5"/>
  <c r="J277" i="5"/>
  <c r="J269" i="5"/>
  <c r="J261" i="5"/>
  <c r="J253" i="5"/>
  <c r="J245" i="5"/>
  <c r="J237" i="5"/>
  <c r="J229" i="5"/>
  <c r="J221" i="5"/>
  <c r="J213" i="5"/>
  <c r="J205" i="5"/>
  <c r="J197" i="5"/>
  <c r="J189" i="5"/>
  <c r="J181" i="5"/>
  <c r="J173" i="5"/>
  <c r="J165" i="5"/>
  <c r="J157" i="5"/>
  <c r="J149" i="5"/>
  <c r="J141" i="5"/>
  <c r="J133" i="5"/>
  <c r="J125" i="5"/>
  <c r="J117" i="5"/>
  <c r="J109" i="5"/>
  <c r="J101" i="5"/>
  <c r="J93" i="5"/>
  <c r="J85" i="5"/>
  <c r="J77" i="5"/>
  <c r="J69" i="5"/>
  <c r="E5" i="5"/>
  <c r="J574" i="5"/>
  <c r="J558" i="5"/>
  <c r="J526" i="5"/>
  <c r="J494" i="5"/>
  <c r="J478" i="5"/>
  <c r="J446" i="5"/>
  <c r="J422" i="5"/>
  <c r="J390" i="5"/>
  <c r="J366" i="5"/>
  <c r="J589" i="5"/>
  <c r="J573" i="5"/>
  <c r="J485" i="5"/>
  <c r="E4" i="5"/>
  <c r="J596" i="5"/>
  <c r="J588" i="5"/>
  <c r="J580" i="5"/>
  <c r="J572" i="5"/>
  <c r="J564" i="5"/>
  <c r="J548" i="5"/>
  <c r="J540" i="5"/>
  <c r="J532" i="5"/>
  <c r="J585" i="5"/>
  <c r="J598" i="5"/>
  <c r="J566" i="5"/>
  <c r="J470" i="5"/>
  <c r="J438" i="5"/>
  <c r="J414" i="5"/>
  <c r="J382" i="5"/>
  <c r="J557" i="5"/>
  <c r="J518" i="5"/>
  <c r="J601" i="5"/>
  <c r="J542" i="5"/>
  <c r="J502" i="5"/>
  <c r="J462" i="5"/>
  <c r="J602" i="5"/>
  <c r="J594" i="5"/>
  <c r="J586" i="5"/>
  <c r="J578" i="5"/>
  <c r="J570" i="5"/>
  <c r="J562" i="5"/>
  <c r="J554" i="5"/>
  <c r="J546" i="5"/>
  <c r="J538" i="5"/>
  <c r="J530" i="5"/>
  <c r="J522" i="5"/>
  <c r="J514" i="5"/>
  <c r="J506" i="5"/>
  <c r="J593" i="5"/>
  <c r="J577" i="5"/>
  <c r="J569" i="5"/>
  <c r="J561" i="5"/>
  <c r="J553" i="5"/>
  <c r="J545" i="5"/>
  <c r="J521" i="5"/>
  <c r="J513" i="5"/>
  <c r="J505" i="5"/>
  <c r="J497" i="5"/>
  <c r="J489" i="5"/>
  <c r="J481" i="5"/>
  <c r="J473" i="5"/>
  <c r="J465" i="5"/>
  <c r="J457" i="5"/>
  <c r="J449" i="5"/>
  <c r="J529" i="5"/>
  <c r="J537" i="5"/>
  <c r="J582" i="5"/>
  <c r="J308" i="5"/>
  <c r="J276" i="5"/>
  <c r="J244" i="5"/>
  <c r="J212" i="5"/>
  <c r="J180" i="5"/>
  <c r="J148" i="5"/>
  <c r="J132" i="5"/>
  <c r="J116" i="5"/>
  <c r="J108" i="5"/>
  <c r="J100" i="5"/>
  <c r="J84" i="5"/>
  <c r="J68" i="5"/>
  <c r="J516" i="5"/>
  <c r="J404" i="5"/>
  <c r="J340" i="5"/>
  <c r="J284" i="5"/>
  <c r="J228" i="5"/>
  <c r="J172" i="5"/>
  <c r="J140" i="5"/>
  <c r="J459" i="5"/>
  <c r="J451" i="5"/>
  <c r="J443" i="5"/>
  <c r="J435" i="5"/>
  <c r="J427" i="5"/>
  <c r="J419" i="5"/>
  <c r="J411" i="5"/>
  <c r="J403" i="5"/>
  <c r="J395" i="5"/>
  <c r="J387" i="5"/>
  <c r="J379" i="5"/>
  <c r="J371" i="5"/>
  <c r="J363" i="5"/>
  <c r="J355" i="5"/>
  <c r="J347" i="5"/>
  <c r="J339" i="5"/>
  <c r="J331" i="5"/>
  <c r="J323" i="5"/>
  <c r="J315" i="5"/>
  <c r="J307" i="5"/>
  <c r="J299" i="5"/>
  <c r="J291" i="5"/>
  <c r="J283" i="5"/>
  <c r="J275" i="5"/>
  <c r="J267" i="5"/>
  <c r="J259" i="5"/>
  <c r="J251" i="5"/>
  <c r="J243" i="5"/>
  <c r="J235" i="5"/>
  <c r="J227" i="5"/>
  <c r="J219" i="5"/>
  <c r="J211" i="5"/>
  <c r="J203" i="5"/>
  <c r="J195" i="5"/>
  <c r="J187" i="5"/>
  <c r="J179" i="5"/>
  <c r="J171" i="5"/>
  <c r="J163" i="5"/>
  <c r="J155" i="5"/>
  <c r="J147" i="5"/>
  <c r="J139" i="5"/>
  <c r="J131" i="5"/>
  <c r="J123" i="5"/>
  <c r="J115" i="5"/>
  <c r="J107" i="5"/>
  <c r="J99" i="5"/>
  <c r="J91" i="5"/>
  <c r="J83" i="5"/>
  <c r="J75" i="5"/>
  <c r="J67" i="5"/>
  <c r="J579" i="5"/>
  <c r="J515" i="5"/>
  <c r="J476" i="5"/>
  <c r="J444" i="5"/>
  <c r="J380" i="5"/>
  <c r="J252" i="5"/>
  <c r="J196" i="5"/>
  <c r="J498" i="5"/>
  <c r="J490" i="5"/>
  <c r="J482" i="5"/>
  <c r="J474" i="5"/>
  <c r="J466" i="5"/>
  <c r="J458" i="5"/>
  <c r="J450" i="5"/>
  <c r="J442" i="5"/>
  <c r="J434" i="5"/>
  <c r="J426" i="5"/>
  <c r="J418" i="5"/>
  <c r="J410" i="5"/>
  <c r="J402" i="5"/>
  <c r="J394" i="5"/>
  <c r="J386" i="5"/>
  <c r="J378" i="5"/>
  <c r="J370" i="5"/>
  <c r="J362" i="5"/>
  <c r="J354" i="5"/>
  <c r="J346" i="5"/>
  <c r="J338" i="5"/>
  <c r="J330" i="5"/>
  <c r="J322" i="5"/>
  <c r="J314" i="5"/>
  <c r="J306" i="5"/>
  <c r="J298" i="5"/>
  <c r="J290" i="5"/>
  <c r="J282" i="5"/>
  <c r="J274" i="5"/>
  <c r="J266" i="5"/>
  <c r="J258" i="5"/>
  <c r="J250" i="5"/>
  <c r="J242" i="5"/>
  <c r="J234" i="5"/>
  <c r="J226" i="5"/>
  <c r="J218" i="5"/>
  <c r="J210" i="5"/>
  <c r="J202" i="5"/>
  <c r="J194" i="5"/>
  <c r="J186" i="5"/>
  <c r="J603" i="5"/>
  <c r="J539" i="5"/>
  <c r="J500" i="5"/>
  <c r="J475" i="5"/>
  <c r="J420" i="5"/>
  <c r="J356" i="5"/>
  <c r="J334" i="5"/>
  <c r="J220" i="5"/>
  <c r="J441" i="5"/>
  <c r="J433" i="5"/>
  <c r="J425" i="5"/>
  <c r="J417" i="5"/>
  <c r="J409" i="5"/>
  <c r="J401" i="5"/>
  <c r="J393" i="5"/>
  <c r="J385" i="5"/>
  <c r="J377" i="5"/>
  <c r="J369" i="5"/>
  <c r="J361" i="5"/>
  <c r="J353" i="5"/>
  <c r="J345" i="5"/>
  <c r="J337" i="5"/>
  <c r="J329" i="5"/>
  <c r="J297" i="5"/>
  <c r="J265" i="5"/>
  <c r="J233" i="5"/>
  <c r="J201" i="5"/>
  <c r="J169" i="5"/>
  <c r="J145" i="5"/>
  <c r="J129" i="5"/>
  <c r="J121" i="5"/>
  <c r="J113" i="5"/>
  <c r="J97" i="5"/>
  <c r="J81" i="5"/>
  <c r="J65" i="5"/>
  <c r="J563" i="5"/>
  <c r="J524" i="5"/>
  <c r="J499" i="5"/>
  <c r="J460" i="5"/>
  <c r="J396" i="5"/>
  <c r="J332" i="5"/>
  <c r="J273" i="5"/>
  <c r="J217" i="5"/>
  <c r="J188" i="5"/>
  <c r="J161" i="5"/>
  <c r="J92" i="5"/>
  <c r="J328" i="5"/>
  <c r="J320" i="5"/>
  <c r="J312" i="5"/>
  <c r="J296" i="5"/>
  <c r="J288" i="5"/>
  <c r="J280" i="5"/>
  <c r="J272" i="5"/>
  <c r="J264" i="5"/>
  <c r="J256" i="5"/>
  <c r="J248" i="5"/>
  <c r="J240" i="5"/>
  <c r="J224" i="5"/>
  <c r="J216" i="5"/>
  <c r="J208" i="5"/>
  <c r="J200" i="5"/>
  <c r="J192" i="5"/>
  <c r="J184" i="5"/>
  <c r="J176" i="5"/>
  <c r="J168" i="5"/>
  <c r="J160" i="5"/>
  <c r="J152" i="5"/>
  <c r="J144" i="5"/>
  <c r="J136" i="5"/>
  <c r="J128" i="5"/>
  <c r="J120" i="5"/>
  <c r="J112" i="5"/>
  <c r="J104" i="5"/>
  <c r="J96" i="5"/>
  <c r="J88" i="5"/>
  <c r="J80" i="5"/>
  <c r="J72" i="5"/>
  <c r="J64" i="5"/>
  <c r="J587" i="5"/>
  <c r="J560" i="5"/>
  <c r="J523" i="5"/>
  <c r="J496" i="5"/>
  <c r="J484" i="5"/>
  <c r="J456" i="5"/>
  <c r="J436" i="5"/>
  <c r="J392" i="5"/>
  <c r="J372" i="5"/>
  <c r="J300" i="5"/>
  <c r="J241" i="5"/>
  <c r="J185" i="5"/>
  <c r="J156" i="5"/>
  <c r="J124" i="5"/>
  <c r="J89" i="5"/>
  <c r="J455" i="5"/>
  <c r="J447" i="5"/>
  <c r="J439" i="5"/>
  <c r="J431" i="5"/>
  <c r="J423" i="5"/>
  <c r="J415" i="5"/>
  <c r="J407" i="5"/>
  <c r="J399" i="5"/>
  <c r="J391" i="5"/>
  <c r="J375" i="5"/>
  <c r="J367" i="5"/>
  <c r="J359" i="5"/>
  <c r="J351" i="5"/>
  <c r="J343" i="5"/>
  <c r="J335" i="5"/>
  <c r="J327" i="5"/>
  <c r="J319" i="5"/>
  <c r="J311" i="5"/>
  <c r="J303" i="5"/>
  <c r="J295" i="5"/>
  <c r="J287" i="5"/>
  <c r="J279" i="5"/>
  <c r="J271" i="5"/>
  <c r="J263" i="5"/>
  <c r="J255" i="5"/>
  <c r="J247" i="5"/>
  <c r="J239" i="5"/>
  <c r="J231" i="5"/>
  <c r="J223" i="5"/>
  <c r="J215" i="5"/>
  <c r="J207" i="5"/>
  <c r="J199" i="5"/>
  <c r="J191" i="5"/>
  <c r="J183" i="5"/>
  <c r="J584" i="5"/>
  <c r="J559" i="5"/>
  <c r="J520" i="5"/>
  <c r="J508" i="5"/>
  <c r="J495" i="5"/>
  <c r="J432" i="5"/>
  <c r="J368" i="5"/>
  <c r="J348" i="5"/>
  <c r="J324" i="5"/>
  <c r="J268" i="5"/>
  <c r="J209" i="5"/>
  <c r="J153" i="5"/>
  <c r="J318" i="5"/>
  <c r="J286" i="5"/>
  <c r="J254" i="5"/>
  <c r="J222" i="5"/>
  <c r="J190" i="5"/>
  <c r="J583" i="5"/>
  <c r="J571" i="5"/>
  <c r="J544" i="5"/>
  <c r="J519" i="5"/>
  <c r="J507" i="5"/>
  <c r="J480" i="5"/>
  <c r="J468" i="5"/>
  <c r="J452" i="5"/>
  <c r="J408" i="5"/>
  <c r="J388" i="5"/>
  <c r="J321" i="5"/>
  <c r="J292" i="5"/>
  <c r="J262" i="5"/>
  <c r="J236" i="5"/>
  <c r="J206" i="5"/>
  <c r="J177" i="5"/>
  <c r="J162" i="5"/>
  <c r="J138" i="5"/>
  <c r="J74" i="5"/>
  <c r="J170" i="5"/>
  <c r="J134" i="5"/>
  <c r="J122" i="5"/>
  <c r="J175" i="5"/>
  <c r="J167" i="5"/>
  <c r="J159" i="5"/>
  <c r="J151" i="5"/>
  <c r="J143" i="5"/>
  <c r="J135" i="5"/>
  <c r="J127" i="5"/>
  <c r="J119" i="5"/>
  <c r="J111" i="5"/>
  <c r="J103" i="5"/>
  <c r="J95" i="5"/>
  <c r="J87" i="5"/>
  <c r="J79" i="5"/>
  <c r="J71" i="5"/>
  <c r="J146" i="5"/>
  <c r="J82" i="5"/>
  <c r="J178" i="5"/>
  <c r="J118" i="5"/>
  <c r="J106" i="5"/>
  <c r="J154" i="5"/>
  <c r="J102" i="5"/>
  <c r="J90" i="5"/>
  <c r="D36" i="2" l="1"/>
  <c r="D35" i="2"/>
  <c r="O28" i="3"/>
  <c r="X10" i="3" l="1"/>
  <c r="X18" i="3"/>
  <c r="X26" i="3"/>
  <c r="X34" i="3"/>
  <c r="X42" i="3"/>
  <c r="X50" i="3"/>
  <c r="X58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O31" i="3"/>
  <c r="E12" i="2"/>
  <c r="X3" i="3"/>
  <c r="O26" i="3"/>
  <c r="X17" i="3" s="1"/>
  <c r="O27" i="3"/>
  <c r="X22" i="3" s="1"/>
  <c r="O25" i="3"/>
  <c r="X59" i="3" s="1"/>
  <c r="E16" i="2"/>
  <c r="E17" i="2"/>
  <c r="E13" i="2"/>
  <c r="E16" i="4" s="1"/>
  <c r="AB24" i="2" l="1" a="1"/>
  <c r="AB24" i="2" s="1"/>
  <c r="AB25" i="4" s="1"/>
  <c r="AC24" i="2" a="1"/>
  <c r="AC24" i="2" s="1"/>
  <c r="AC25" i="4" s="1"/>
  <c r="H24" i="2" a="1"/>
  <c r="H24" i="2" s="1"/>
  <c r="H25" i="4" s="1"/>
  <c r="I24" i="2" a="1"/>
  <c r="I24" i="2" s="1"/>
  <c r="I25" i="4" s="1"/>
  <c r="J24" i="2" a="1"/>
  <c r="J24" i="2" s="1"/>
  <c r="J25" i="4" s="1"/>
  <c r="E24" i="2" a="1"/>
  <c r="E24" i="2" s="1"/>
  <c r="E25" i="4" s="1"/>
  <c r="F24" i="2" a="1"/>
  <c r="F24" i="2" s="1"/>
  <c r="F25" i="4" s="1"/>
  <c r="K24" i="2" a="1"/>
  <c r="K24" i="2" s="1"/>
  <c r="K25" i="4" s="1"/>
  <c r="G24" i="2" a="1"/>
  <c r="G24" i="2" s="1"/>
  <c r="G25" i="4" s="1"/>
  <c r="J22" i="2"/>
  <c r="J23" i="4" s="1"/>
  <c r="K22" i="2"/>
  <c r="K23" i="4" s="1"/>
  <c r="S22" i="2"/>
  <c r="S23" i="4" s="1"/>
  <c r="AA22" i="2"/>
  <c r="AA23" i="4" s="1"/>
  <c r="AC22" i="2"/>
  <c r="AC23" i="4" s="1"/>
  <c r="L22" i="2"/>
  <c r="L23" i="4" s="1"/>
  <c r="T22" i="2"/>
  <c r="T23" i="4" s="1"/>
  <c r="AB22" i="2"/>
  <c r="AB23" i="4" s="1"/>
  <c r="U22" i="2"/>
  <c r="U23" i="4" s="1"/>
  <c r="M22" i="2"/>
  <c r="M23" i="4" s="1"/>
  <c r="N22" i="2"/>
  <c r="N23" i="4" s="1"/>
  <c r="V22" i="2"/>
  <c r="V23" i="4" s="1"/>
  <c r="O22" i="2"/>
  <c r="O23" i="4" s="1"/>
  <c r="W22" i="2"/>
  <c r="W23" i="4" s="1"/>
  <c r="Y22" i="2"/>
  <c r="Y23" i="4" s="1"/>
  <c r="R22" i="2"/>
  <c r="R23" i="4" s="1"/>
  <c r="P22" i="2"/>
  <c r="P23" i="4" s="1"/>
  <c r="X22" i="2"/>
  <c r="X23" i="4" s="1"/>
  <c r="Q22" i="2"/>
  <c r="Q23" i="4" s="1"/>
  <c r="Z22" i="2"/>
  <c r="Z23" i="4" s="1"/>
  <c r="O34" i="3"/>
  <c r="F21" i="2" s="1"/>
  <c r="F22" i="4" s="1"/>
  <c r="H21" i="2"/>
  <c r="H22" i="4" s="1"/>
  <c r="P21" i="2"/>
  <c r="P22" i="4" s="1"/>
  <c r="X21" i="2"/>
  <c r="X22" i="4" s="1"/>
  <c r="I21" i="2"/>
  <c r="I22" i="4" s="1"/>
  <c r="Q21" i="2"/>
  <c r="Q22" i="4" s="1"/>
  <c r="Y21" i="2"/>
  <c r="Y22" i="4" s="1"/>
  <c r="J21" i="2"/>
  <c r="J22" i="4" s="1"/>
  <c r="R21" i="2"/>
  <c r="R22" i="4" s="1"/>
  <c r="Z21" i="2"/>
  <c r="Z22" i="4" s="1"/>
  <c r="AA21" i="2"/>
  <c r="AA22" i="4" s="1"/>
  <c r="U21" i="2"/>
  <c r="U22" i="4" s="1"/>
  <c r="V21" i="2"/>
  <c r="V22" i="4" s="1"/>
  <c r="G21" i="2"/>
  <c r="G22" i="4" s="1"/>
  <c r="W21" i="2"/>
  <c r="W22" i="4" s="1"/>
  <c r="K21" i="2"/>
  <c r="K22" i="4" s="1"/>
  <c r="S21" i="2"/>
  <c r="S22" i="4" s="1"/>
  <c r="O21" i="2"/>
  <c r="O22" i="4" s="1"/>
  <c r="L21" i="2"/>
  <c r="L22" i="4" s="1"/>
  <c r="T21" i="2"/>
  <c r="T22" i="4" s="1"/>
  <c r="AB21" i="2"/>
  <c r="AB22" i="4" s="1"/>
  <c r="M21" i="2"/>
  <c r="M22" i="4" s="1"/>
  <c r="AC21" i="2"/>
  <c r="AC22" i="4" s="1"/>
  <c r="N21" i="2"/>
  <c r="N22" i="4" s="1"/>
  <c r="E21" i="2"/>
  <c r="E22" i="4" s="1"/>
  <c r="O35" i="3"/>
  <c r="E15" i="4"/>
  <c r="J39" i="2"/>
  <c r="J38" i="2"/>
  <c r="M39" i="2"/>
  <c r="M38" i="2"/>
  <c r="F13" i="1"/>
  <c r="AA7" i="2" s="1"/>
  <c r="AA10" i="4" s="1"/>
  <c r="O32" i="3"/>
  <c r="O33" i="3"/>
  <c r="E23" i="2"/>
  <c r="E24" i="4" s="1"/>
  <c r="X57" i="3"/>
  <c r="X49" i="3"/>
  <c r="X41" i="3"/>
  <c r="X33" i="3"/>
  <c r="X25" i="3"/>
  <c r="X9" i="3"/>
  <c r="X56" i="3"/>
  <c r="X48" i="3"/>
  <c r="X40" i="3"/>
  <c r="X32" i="3"/>
  <c r="X24" i="3"/>
  <c r="X16" i="3"/>
  <c r="X8" i="3"/>
  <c r="X55" i="3"/>
  <c r="X47" i="3"/>
  <c r="X39" i="3"/>
  <c r="X31" i="3"/>
  <c r="X23" i="3"/>
  <c r="X15" i="3"/>
  <c r="X7" i="3"/>
  <c r="X62" i="3"/>
  <c r="X54" i="3"/>
  <c r="X46" i="3"/>
  <c r="X38" i="3"/>
  <c r="X30" i="3"/>
  <c r="X14" i="3"/>
  <c r="X6" i="3"/>
  <c r="X61" i="3"/>
  <c r="X53" i="3"/>
  <c r="X45" i="3"/>
  <c r="X37" i="3"/>
  <c r="X29" i="3"/>
  <c r="X21" i="3"/>
  <c r="X13" i="3"/>
  <c r="X5" i="3"/>
  <c r="X60" i="3"/>
  <c r="X52" i="3"/>
  <c r="X44" i="3"/>
  <c r="X36" i="3"/>
  <c r="X28" i="3"/>
  <c r="X20" i="3"/>
  <c r="X12" i="3"/>
  <c r="X4" i="3"/>
  <c r="X51" i="3"/>
  <c r="X43" i="3"/>
  <c r="X35" i="3"/>
  <c r="X27" i="3"/>
  <c r="X19" i="3"/>
  <c r="X11" i="3"/>
  <c r="E8" i="2"/>
  <c r="E11" i="4" s="1"/>
  <c r="N8" i="2"/>
  <c r="N11" i="4" s="1"/>
  <c r="AB8" i="2"/>
  <c r="AB11" i="4" s="1"/>
  <c r="Z8" i="2"/>
  <c r="Z11" i="4" s="1"/>
  <c r="J8" i="2"/>
  <c r="J11" i="4" s="1"/>
  <c r="M8" i="2"/>
  <c r="M11" i="4" s="1"/>
  <c r="V8" i="2"/>
  <c r="V11" i="4" s="1"/>
  <c r="F8" i="2"/>
  <c r="F11" i="4" s="1"/>
  <c r="R8" i="2"/>
  <c r="R11" i="4" s="1"/>
  <c r="AC8" i="2"/>
  <c r="AC11" i="4" s="1"/>
  <c r="L8" i="2"/>
  <c r="L11" i="4" s="1"/>
  <c r="U8" i="2"/>
  <c r="U11" i="4" s="1"/>
  <c r="T8" i="2"/>
  <c r="T11" i="4" s="1"/>
  <c r="AA8" i="2"/>
  <c r="AA11" i="4" s="1"/>
  <c r="S8" i="2"/>
  <c r="S11" i="4" s="1"/>
  <c r="K8" i="2"/>
  <c r="K11" i="4" s="1"/>
  <c r="Y8" i="2"/>
  <c r="Y11" i="4" s="1"/>
  <c r="Q8" i="2"/>
  <c r="Q11" i="4" s="1"/>
  <c r="I8" i="2"/>
  <c r="I11" i="4" s="1"/>
  <c r="X8" i="2"/>
  <c r="X11" i="4" s="1"/>
  <c r="P8" i="2"/>
  <c r="P11" i="4" s="1"/>
  <c r="H8" i="2"/>
  <c r="H11" i="4" s="1"/>
  <c r="W8" i="2"/>
  <c r="W11" i="4" s="1"/>
  <c r="O8" i="2"/>
  <c r="O11" i="4" s="1"/>
  <c r="G8" i="2"/>
  <c r="G11" i="4" s="1"/>
  <c r="W6" i="2"/>
  <c r="W9" i="4" s="1"/>
  <c r="O6" i="2"/>
  <c r="O9" i="4" s="1"/>
  <c r="G6" i="2"/>
  <c r="G9" i="4" s="1"/>
  <c r="L6" i="2"/>
  <c r="L9" i="4" s="1"/>
  <c r="AA6" i="2"/>
  <c r="AA9" i="4" s="1"/>
  <c r="K6" i="2"/>
  <c r="K9" i="4" s="1"/>
  <c r="Z6" i="2"/>
  <c r="Z9" i="4" s="1"/>
  <c r="J6" i="2"/>
  <c r="J9" i="4" s="1"/>
  <c r="Y6" i="2"/>
  <c r="Y9" i="4" s="1"/>
  <c r="Q6" i="2"/>
  <c r="Q9" i="4" s="1"/>
  <c r="I6" i="2"/>
  <c r="I9" i="4" s="1"/>
  <c r="T6" i="2"/>
  <c r="T9" i="4" s="1"/>
  <c r="S6" i="2"/>
  <c r="S9" i="4" s="1"/>
  <c r="AB7" i="2"/>
  <c r="AB10" i="4" s="1"/>
  <c r="R6" i="2"/>
  <c r="R9" i="4" s="1"/>
  <c r="X6" i="2"/>
  <c r="X9" i="4" s="1"/>
  <c r="P6" i="2"/>
  <c r="P9" i="4" s="1"/>
  <c r="H6" i="2"/>
  <c r="H9" i="4" s="1"/>
  <c r="N6" i="2"/>
  <c r="N9" i="4" s="1"/>
  <c r="E6" i="2"/>
  <c r="E9" i="4" s="1"/>
  <c r="V6" i="2"/>
  <c r="V9" i="4" s="1"/>
  <c r="F6" i="2"/>
  <c r="F9" i="4" s="1"/>
  <c r="AC6" i="2"/>
  <c r="AC9" i="4" s="1"/>
  <c r="U6" i="2"/>
  <c r="U9" i="4" s="1"/>
  <c r="M6" i="2"/>
  <c r="M9" i="4" s="1"/>
  <c r="AC7" i="2"/>
  <c r="AC10" i="4" s="1"/>
  <c r="AB6" i="2"/>
  <c r="AB9" i="4" s="1"/>
  <c r="E14" i="2"/>
  <c r="E17" i="4" s="1"/>
  <c r="I22" i="2" l="1"/>
  <c r="I23" i="4" s="1"/>
  <c r="H22" i="2"/>
  <c r="H23" i="4" s="1"/>
  <c r="G22" i="2"/>
  <c r="G23" i="4" s="1"/>
  <c r="E22" i="2"/>
  <c r="E23" i="4" s="1"/>
  <c r="F22" i="2"/>
  <c r="F23" i="4" s="1"/>
  <c r="AC25" i="2"/>
  <c r="AB25" i="2"/>
  <c r="E15" i="2"/>
  <c r="AA24" i="2" s="1" a="1"/>
  <c r="AA24" i="2" s="1"/>
  <c r="AA25" i="4" s="1"/>
  <c r="Y25" i="2"/>
  <c r="Z25" i="2"/>
  <c r="AA25" i="2"/>
  <c r="L7" i="2"/>
  <c r="L10" i="4" s="1"/>
  <c r="F7" i="2"/>
  <c r="F10" i="4" s="1"/>
  <c r="N7" i="2"/>
  <c r="N10" i="4" s="1"/>
  <c r="S7" i="2"/>
  <c r="S10" i="4" s="1"/>
  <c r="Z7" i="2"/>
  <c r="Z10" i="4" s="1"/>
  <c r="P7" i="2"/>
  <c r="P10" i="4" s="1"/>
  <c r="T7" i="2"/>
  <c r="T10" i="4" s="1"/>
  <c r="I7" i="2"/>
  <c r="I10" i="4" s="1"/>
  <c r="G7" i="2"/>
  <c r="G10" i="4" s="1"/>
  <c r="J7" i="2"/>
  <c r="J10" i="4" s="1"/>
  <c r="O7" i="2"/>
  <c r="O10" i="4" s="1"/>
  <c r="W7" i="2"/>
  <c r="W10" i="4" s="1"/>
  <c r="U7" i="2"/>
  <c r="U10" i="4" s="1"/>
  <c r="V7" i="2"/>
  <c r="V10" i="4" s="1"/>
  <c r="Q7" i="2"/>
  <c r="Q10" i="4" s="1"/>
  <c r="M7" i="2"/>
  <c r="M10" i="4" s="1"/>
  <c r="E7" i="2"/>
  <c r="E10" i="4" s="1"/>
  <c r="Y7" i="2"/>
  <c r="Y10" i="4" s="1"/>
  <c r="R7" i="2"/>
  <c r="R10" i="4" s="1"/>
  <c r="H7" i="2"/>
  <c r="H10" i="4" s="1"/>
  <c r="K7" i="2"/>
  <c r="K10" i="4" s="1"/>
  <c r="X7" i="2"/>
  <c r="X10" i="4" s="1"/>
  <c r="P23" i="2"/>
  <c r="P24" i="4" s="1"/>
  <c r="R23" i="2"/>
  <c r="R24" i="4" s="1"/>
  <c r="Z23" i="2"/>
  <c r="Z24" i="4" s="1"/>
  <c r="K23" i="2"/>
  <c r="K24" i="4" s="1"/>
  <c r="O23" i="2"/>
  <c r="O24" i="4" s="1"/>
  <c r="S23" i="2"/>
  <c r="S24" i="4" s="1"/>
  <c r="W23" i="2"/>
  <c r="W24" i="4" s="1"/>
  <c r="AB23" i="2"/>
  <c r="AB24" i="4" s="1"/>
  <c r="Q23" i="2"/>
  <c r="Q24" i="4" s="1"/>
  <c r="Y23" i="2"/>
  <c r="Y24" i="4" s="1"/>
  <c r="U23" i="2"/>
  <c r="U24" i="4" s="1"/>
  <c r="V23" i="2"/>
  <c r="V24" i="4" s="1"/>
  <c r="M23" i="2"/>
  <c r="M24" i="4" s="1"/>
  <c r="N23" i="2"/>
  <c r="N24" i="4" s="1"/>
  <c r="AC23" i="2"/>
  <c r="AC24" i="4" s="1"/>
  <c r="L23" i="2"/>
  <c r="L24" i="4" s="1"/>
  <c r="X23" i="2"/>
  <c r="X24" i="4" s="1"/>
  <c r="AA23" i="2"/>
  <c r="AA24" i="4" s="1"/>
  <c r="J23" i="2"/>
  <c r="J24" i="4" s="1"/>
  <c r="T23" i="2"/>
  <c r="T24" i="4" s="1"/>
  <c r="AC9" i="2"/>
  <c r="AC12" i="4" s="1"/>
  <c r="AA9" i="2"/>
  <c r="AA12" i="4" s="1"/>
  <c r="AB9" i="2"/>
  <c r="AB12" i="4" s="1"/>
  <c r="M24" i="2" l="1" a="1"/>
  <c r="M24" i="2" s="1"/>
  <c r="M25" i="4" s="1"/>
  <c r="T24" i="2" a="1"/>
  <c r="T24" i="2" s="1"/>
  <c r="T25" i="4" s="1"/>
  <c r="Z24" i="2" a="1"/>
  <c r="Z24" i="2" s="1"/>
  <c r="Z25" i="4" s="1"/>
  <c r="L24" i="2" a="1"/>
  <c r="L24" i="2" s="1"/>
  <c r="L25" i="4" s="1"/>
  <c r="N24" i="2" a="1"/>
  <c r="N24" i="2" s="1"/>
  <c r="N25" i="4" s="1"/>
  <c r="E18" i="4"/>
  <c r="O24" i="2" a="1"/>
  <c r="O24" i="2" s="1"/>
  <c r="O25" i="4" s="1"/>
  <c r="U24" i="2" a="1"/>
  <c r="U24" i="2" s="1"/>
  <c r="U25" i="4" s="1"/>
  <c r="P24" i="2" a="1"/>
  <c r="P24" i="2" s="1"/>
  <c r="P25" i="4" s="1"/>
  <c r="V24" i="2" a="1"/>
  <c r="V24" i="2" s="1"/>
  <c r="V25" i="4" s="1"/>
  <c r="W24" i="2" a="1"/>
  <c r="W24" i="2" s="1"/>
  <c r="W25" i="4" s="1"/>
  <c r="Q24" i="2" a="1"/>
  <c r="Q24" i="2" s="1"/>
  <c r="Q25" i="4" s="1"/>
  <c r="X24" i="2" a="1"/>
  <c r="X24" i="2" s="1"/>
  <c r="X25" i="4" s="1"/>
  <c r="R24" i="2" a="1"/>
  <c r="R24" i="2" s="1"/>
  <c r="R25" i="4" s="1"/>
  <c r="S24" i="2" a="1"/>
  <c r="S24" i="2" s="1"/>
  <c r="S25" i="4" s="1"/>
  <c r="Y24" i="2" a="1"/>
  <c r="Y24" i="2" s="1"/>
  <c r="Y25" i="4" s="1"/>
  <c r="I23" i="2"/>
  <c r="G4" i="5"/>
  <c r="F89" i="5" s="1"/>
  <c r="S4" i="5"/>
  <c r="I9" i="2"/>
  <c r="I12" i="4" s="1"/>
  <c r="V9" i="2"/>
  <c r="V12" i="4" s="1"/>
  <c r="Z9" i="2"/>
  <c r="Z12" i="4" s="1"/>
  <c r="Q9" i="2"/>
  <c r="Q12" i="4" s="1"/>
  <c r="K9" i="2"/>
  <c r="K12" i="4" s="1"/>
  <c r="AB26" i="2"/>
  <c r="AB27" i="4" s="1"/>
  <c r="T9" i="2"/>
  <c r="T12" i="4" s="1"/>
  <c r="W9" i="2"/>
  <c r="W12" i="4" s="1"/>
  <c r="S9" i="2"/>
  <c r="S12" i="4" s="1"/>
  <c r="J26" i="2"/>
  <c r="J27" i="4" s="1"/>
  <c r="R9" i="2"/>
  <c r="R12" i="4" s="1"/>
  <c r="O9" i="2"/>
  <c r="O12" i="4" s="1"/>
  <c r="N9" i="2"/>
  <c r="N12" i="4" s="1"/>
  <c r="AA26" i="2"/>
  <c r="AA27" i="4" s="1"/>
  <c r="K26" i="2"/>
  <c r="K27" i="4" s="1"/>
  <c r="Y9" i="2"/>
  <c r="Y12" i="4" s="1"/>
  <c r="J9" i="2"/>
  <c r="J12" i="4" s="1"/>
  <c r="L9" i="2"/>
  <c r="L12" i="4" s="1"/>
  <c r="AC26" i="2"/>
  <c r="AC27" i="4" s="1"/>
  <c r="X9" i="2"/>
  <c r="X12" i="4" s="1"/>
  <c r="P9" i="2"/>
  <c r="P12" i="4" s="1"/>
  <c r="U9" i="2"/>
  <c r="U12" i="4" s="1"/>
  <c r="M9" i="2"/>
  <c r="M12" i="4" s="1"/>
  <c r="F9" i="2"/>
  <c r="F12" i="4" s="1"/>
  <c r="H9" i="2"/>
  <c r="H12" i="4" s="1"/>
  <c r="G9" i="2"/>
  <c r="G12" i="4" s="1"/>
  <c r="R26" i="2" l="1"/>
  <c r="R27" i="4" s="1"/>
  <c r="U26" i="2"/>
  <c r="U27" i="4" s="1"/>
  <c r="Z26" i="2"/>
  <c r="Z27" i="4" s="1"/>
  <c r="S26" i="2"/>
  <c r="S27" i="4" s="1"/>
  <c r="O26" i="2"/>
  <c r="O27" i="4" s="1"/>
  <c r="N26" i="2"/>
  <c r="N27" i="4" s="1"/>
  <c r="L26" i="2"/>
  <c r="L27" i="4" s="1"/>
  <c r="Y26" i="2"/>
  <c r="Y27" i="4" s="1"/>
  <c r="W26" i="2"/>
  <c r="W27" i="4" s="1"/>
  <c r="V26" i="2"/>
  <c r="V27" i="4" s="1"/>
  <c r="X26" i="2"/>
  <c r="X27" i="4" s="1"/>
  <c r="M26" i="2"/>
  <c r="M27" i="4" s="1"/>
  <c r="P26" i="2"/>
  <c r="P27" i="4" s="1"/>
  <c r="Q26" i="2"/>
  <c r="Q27" i="4" s="1"/>
  <c r="T26" i="2"/>
  <c r="T27" i="4" s="1"/>
  <c r="F23" i="5"/>
  <c r="F143" i="5"/>
  <c r="F4" i="5"/>
  <c r="D4" i="5" s="1"/>
  <c r="F589" i="5"/>
  <c r="F509" i="5"/>
  <c r="F493" i="5"/>
  <c r="F22" i="5"/>
  <c r="F156" i="5"/>
  <c r="F35" i="5"/>
  <c r="F17" i="5"/>
  <c r="F24" i="5"/>
  <c r="F526" i="5"/>
  <c r="F28" i="5"/>
  <c r="F578" i="5"/>
  <c r="F431" i="5"/>
  <c r="F513" i="5"/>
  <c r="F561" i="5"/>
  <c r="F12" i="5"/>
  <c r="D12" i="5" s="1"/>
  <c r="F148" i="5"/>
  <c r="F196" i="5"/>
  <c r="F489" i="5"/>
  <c r="F365" i="5"/>
  <c r="F490" i="5"/>
  <c r="F477" i="5"/>
  <c r="F528" i="5"/>
  <c r="F488" i="5"/>
  <c r="F510" i="5"/>
  <c r="F417" i="5"/>
  <c r="F103" i="5"/>
  <c r="F104" i="5"/>
  <c r="F596" i="5"/>
  <c r="F15" i="5"/>
  <c r="D15" i="5" s="1"/>
  <c r="F165" i="5"/>
  <c r="F409" i="5"/>
  <c r="F224" i="5"/>
  <c r="F341" i="5"/>
  <c r="F397" i="5"/>
  <c r="F343" i="5"/>
  <c r="F270" i="5"/>
  <c r="F273" i="5"/>
  <c r="F308" i="5"/>
  <c r="F71" i="5"/>
  <c r="F601" i="5"/>
  <c r="F320" i="5"/>
  <c r="F232" i="5"/>
  <c r="F304" i="5"/>
  <c r="F206" i="5"/>
  <c r="F537" i="5"/>
  <c r="F128" i="5"/>
  <c r="F9" i="5"/>
  <c r="D9" i="5" s="1"/>
  <c r="F27" i="5"/>
  <c r="F8" i="5"/>
  <c r="D8" i="5" s="1"/>
  <c r="F384" i="5"/>
  <c r="F193" i="5"/>
  <c r="F109" i="5"/>
  <c r="F364" i="5"/>
  <c r="F171" i="5"/>
  <c r="F425" i="5"/>
  <c r="I26" i="2"/>
  <c r="I27" i="4" s="1"/>
  <c r="I24" i="4"/>
  <c r="F367" i="5"/>
  <c r="F220" i="5"/>
  <c r="F496" i="5"/>
  <c r="F530" i="5"/>
  <c r="F599" i="5"/>
  <c r="F547" i="5"/>
  <c r="F147" i="5"/>
  <c r="F345" i="5"/>
  <c r="F574" i="5"/>
  <c r="F470" i="5"/>
  <c r="F518" i="5"/>
  <c r="F453" i="5"/>
  <c r="F531" i="5"/>
  <c r="F508" i="5"/>
  <c r="F248" i="5"/>
  <c r="F362" i="5"/>
  <c r="F205" i="5"/>
  <c r="F348" i="5"/>
  <c r="F6" i="5"/>
  <c r="D6" i="5" s="1"/>
  <c r="F553" i="5"/>
  <c r="F268" i="5"/>
  <c r="F25" i="5"/>
  <c r="F602" i="5"/>
  <c r="F445" i="5"/>
  <c r="F204" i="5"/>
  <c r="F525" i="5"/>
  <c r="F200" i="5"/>
  <c r="F497" i="5"/>
  <c r="F136" i="5"/>
  <c r="F340" i="5"/>
  <c r="F597" i="5"/>
  <c r="F213" i="5"/>
  <c r="F480" i="5"/>
  <c r="F478" i="5"/>
  <c r="F527" i="5"/>
  <c r="F279" i="5"/>
  <c r="F500" i="5"/>
  <c r="F209" i="5"/>
  <c r="F413" i="5"/>
  <c r="F358" i="5"/>
  <c r="F87" i="5"/>
  <c r="F322" i="5"/>
  <c r="F18" i="5"/>
  <c r="F447" i="5"/>
  <c r="F11" i="5"/>
  <c r="D11" i="5" s="1"/>
  <c r="F590" i="5"/>
  <c r="F429" i="5"/>
  <c r="F181" i="5"/>
  <c r="F512" i="5"/>
  <c r="F180" i="5"/>
  <c r="F404" i="5"/>
  <c r="F21" i="5"/>
  <c r="F319" i="5"/>
  <c r="F545" i="5"/>
  <c r="F192" i="5"/>
  <c r="F293" i="5"/>
  <c r="F465" i="5"/>
  <c r="F519" i="5"/>
  <c r="F265" i="5"/>
  <c r="F484" i="5"/>
  <c r="F67" i="5"/>
  <c r="F388" i="5"/>
  <c r="F350" i="5"/>
  <c r="F403" i="5"/>
  <c r="F298" i="5"/>
  <c r="F110" i="5"/>
  <c r="F185" i="5"/>
  <c r="F102" i="5"/>
  <c r="F502" i="5"/>
  <c r="F19" i="5"/>
  <c r="F566" i="5"/>
  <c r="F288" i="5"/>
  <c r="F26" i="5"/>
  <c r="F514" i="5"/>
  <c r="F552" i="5"/>
  <c r="F408" i="5"/>
  <c r="F161" i="5"/>
  <c r="F424" i="5"/>
  <c r="F160" i="5"/>
  <c r="F383" i="5"/>
  <c r="F13" i="5"/>
  <c r="D13" i="5" s="1"/>
  <c r="F237" i="5"/>
  <c r="F494" i="5"/>
  <c r="F111" i="5"/>
  <c r="F271" i="5"/>
  <c r="F352" i="5"/>
  <c r="F511" i="5"/>
  <c r="F151" i="5"/>
  <c r="F476" i="5"/>
  <c r="F603" i="5"/>
  <c r="F375" i="5"/>
  <c r="F334" i="5"/>
  <c r="F267" i="5"/>
  <c r="F242" i="5"/>
  <c r="F46" i="5"/>
  <c r="F10" i="5"/>
  <c r="D10" i="5" s="1"/>
  <c r="F369" i="5"/>
  <c r="F7" i="5"/>
  <c r="D7" i="5" s="1"/>
  <c r="F464" i="5"/>
  <c r="F124" i="5"/>
  <c r="F14" i="5"/>
  <c r="D14" i="5" s="1"/>
  <c r="F391" i="5"/>
  <c r="F538" i="5"/>
  <c r="F385" i="5"/>
  <c r="F99" i="5"/>
  <c r="F405" i="5"/>
  <c r="F92" i="5"/>
  <c r="F360" i="5"/>
  <c r="F521" i="5"/>
  <c r="F216" i="5"/>
  <c r="F436" i="5"/>
  <c r="F79" i="5"/>
  <c r="F168" i="5"/>
  <c r="F249" i="5"/>
  <c r="F463" i="5"/>
  <c r="F137" i="5"/>
  <c r="F428" i="5"/>
  <c r="F595" i="5"/>
  <c r="F208" i="5"/>
  <c r="F310" i="5"/>
  <c r="F227" i="5"/>
  <c r="F218" i="5"/>
  <c r="J4" i="5"/>
  <c r="F592" i="5"/>
  <c r="F328" i="5"/>
  <c r="F5" i="5"/>
  <c r="D5" i="5" s="1"/>
  <c r="F541" i="5"/>
  <c r="F245" i="5"/>
  <c r="F16" i="5"/>
  <c r="F501" i="5"/>
  <c r="F244" i="5"/>
  <c r="F576" i="5"/>
  <c r="F344" i="5"/>
  <c r="F522" i="5"/>
  <c r="F177" i="5"/>
  <c r="F482" i="5"/>
  <c r="F20" i="5"/>
  <c r="F377" i="5"/>
  <c r="F505" i="5"/>
  <c r="F504" i="5"/>
  <c r="F72" i="5"/>
  <c r="F317" i="5"/>
  <c r="F588" i="5"/>
  <c r="F261" i="5"/>
  <c r="F437" i="5"/>
  <c r="F64" i="5"/>
  <c r="F150" i="5"/>
  <c r="F131" i="5"/>
  <c r="F225" i="5"/>
  <c r="F577" i="5"/>
  <c r="F474" i="5"/>
  <c r="F327" i="5"/>
  <c r="F63" i="5"/>
  <c r="F498" i="5"/>
  <c r="F321" i="5"/>
  <c r="F60" i="5"/>
  <c r="F485" i="5"/>
  <c r="F301" i="5"/>
  <c r="F598" i="5"/>
  <c r="F399" i="5"/>
  <c r="F175" i="5"/>
  <c r="F533" i="5"/>
  <c r="F357" i="5"/>
  <c r="F51" i="5"/>
  <c r="F373" i="5"/>
  <c r="F40" i="5"/>
  <c r="F332" i="5"/>
  <c r="F591" i="5"/>
  <c r="F443" i="5"/>
  <c r="F201" i="5"/>
  <c r="F572" i="5"/>
  <c r="F401" i="5"/>
  <c r="F197" i="5"/>
  <c r="F515" i="5"/>
  <c r="F297" i="5"/>
  <c r="F438" i="5"/>
  <c r="F238" i="5"/>
  <c r="F387" i="5"/>
  <c r="F44" i="5"/>
  <c r="F186" i="5"/>
  <c r="F38" i="5"/>
  <c r="F565" i="5"/>
  <c r="F462" i="5"/>
  <c r="F264" i="5"/>
  <c r="F32" i="5"/>
  <c r="F486" i="5"/>
  <c r="F263" i="5"/>
  <c r="F600" i="5"/>
  <c r="F472" i="5"/>
  <c r="F217" i="5"/>
  <c r="F585" i="5"/>
  <c r="F380" i="5"/>
  <c r="F153" i="5"/>
  <c r="F520" i="5"/>
  <c r="F276" i="5"/>
  <c r="F594" i="5"/>
  <c r="F353" i="5"/>
  <c r="F593" i="5"/>
  <c r="F309" i="5"/>
  <c r="F551" i="5"/>
  <c r="F420" i="5"/>
  <c r="F176" i="5"/>
  <c r="F564" i="5"/>
  <c r="F389" i="5"/>
  <c r="F120" i="5"/>
  <c r="F507" i="5"/>
  <c r="F272" i="5"/>
  <c r="F430" i="5"/>
  <c r="F230" i="5"/>
  <c r="F347" i="5"/>
  <c r="F442" i="5"/>
  <c r="F105" i="5"/>
  <c r="F473" i="5"/>
  <c r="F241" i="5"/>
  <c r="F586" i="5"/>
  <c r="F457" i="5"/>
  <c r="F199" i="5"/>
  <c r="F573" i="5"/>
  <c r="F359" i="5"/>
  <c r="F52" i="5"/>
  <c r="F506" i="5"/>
  <c r="F255" i="5"/>
  <c r="F582" i="5"/>
  <c r="F333" i="5"/>
  <c r="F529" i="5"/>
  <c r="F269" i="5"/>
  <c r="F535" i="5"/>
  <c r="F407" i="5"/>
  <c r="F164" i="5"/>
  <c r="F524" i="5"/>
  <c r="F376" i="5"/>
  <c r="F88" i="5"/>
  <c r="F499" i="5"/>
  <c r="F233" i="5"/>
  <c r="F366" i="5"/>
  <c r="F214" i="5"/>
  <c r="F291" i="5"/>
  <c r="F418" i="5"/>
  <c r="F101" i="5"/>
  <c r="F77" i="5"/>
  <c r="F305" i="5"/>
  <c r="F141" i="5"/>
  <c r="F562" i="5"/>
  <c r="F461" i="5"/>
  <c r="F303" i="5"/>
  <c r="F140" i="5"/>
  <c r="F549" i="5"/>
  <c r="F441" i="5"/>
  <c r="F280" i="5"/>
  <c r="F116" i="5"/>
  <c r="F560" i="5"/>
  <c r="F456" i="5"/>
  <c r="F296" i="5"/>
  <c r="F135" i="5"/>
  <c r="F584" i="5"/>
  <c r="F481" i="5"/>
  <c r="F335" i="5"/>
  <c r="F173" i="5"/>
  <c r="F569" i="5"/>
  <c r="F452" i="5"/>
  <c r="F231" i="5"/>
  <c r="F581" i="5"/>
  <c r="F433" i="5"/>
  <c r="F207" i="5"/>
  <c r="F583" i="5"/>
  <c r="F495" i="5"/>
  <c r="F381" i="5"/>
  <c r="F253" i="5"/>
  <c r="F112" i="5"/>
  <c r="F548" i="5"/>
  <c r="F468" i="5"/>
  <c r="F325" i="5"/>
  <c r="F172" i="5"/>
  <c r="F579" i="5"/>
  <c r="F483" i="5"/>
  <c r="F336" i="5"/>
  <c r="F183" i="5"/>
  <c r="F414" i="5"/>
  <c r="F294" i="5"/>
  <c r="F182" i="5"/>
  <c r="F62" i="5"/>
  <c r="F331" i="5"/>
  <c r="F219" i="5"/>
  <c r="F95" i="5"/>
  <c r="F386" i="5"/>
  <c r="F290" i="5"/>
  <c r="F162" i="5"/>
  <c r="F37" i="5"/>
  <c r="F284" i="5"/>
  <c r="F121" i="5"/>
  <c r="F550" i="5"/>
  <c r="F444" i="5"/>
  <c r="F281" i="5"/>
  <c r="F117" i="5"/>
  <c r="F536" i="5"/>
  <c r="F423" i="5"/>
  <c r="F257" i="5"/>
  <c r="F91" i="5"/>
  <c r="F546" i="5"/>
  <c r="F440" i="5"/>
  <c r="F277" i="5"/>
  <c r="F113" i="5"/>
  <c r="F570" i="5"/>
  <c r="F469" i="5"/>
  <c r="F316" i="5"/>
  <c r="F152" i="5"/>
  <c r="F557" i="5"/>
  <c r="F435" i="5"/>
  <c r="F212" i="5"/>
  <c r="F568" i="5"/>
  <c r="F412" i="5"/>
  <c r="F188" i="5"/>
  <c r="F575" i="5"/>
  <c r="F487" i="5"/>
  <c r="F368" i="5"/>
  <c r="F240" i="5"/>
  <c r="F96" i="5"/>
  <c r="F540" i="5"/>
  <c r="F460" i="5"/>
  <c r="F312" i="5"/>
  <c r="F159" i="5"/>
  <c r="F571" i="5"/>
  <c r="F475" i="5"/>
  <c r="F324" i="5"/>
  <c r="F169" i="5"/>
  <c r="F406" i="5"/>
  <c r="F286" i="5"/>
  <c r="F174" i="5"/>
  <c r="F427" i="5"/>
  <c r="F323" i="5"/>
  <c r="F211" i="5"/>
  <c r="F83" i="5"/>
  <c r="F378" i="5"/>
  <c r="F282" i="5"/>
  <c r="F130" i="5"/>
  <c r="F106" i="5"/>
  <c r="F239" i="5"/>
  <c r="F59" i="5"/>
  <c r="F534" i="5"/>
  <c r="F421" i="5"/>
  <c r="F256" i="5"/>
  <c r="F84" i="5"/>
  <c r="F558" i="5"/>
  <c r="F455" i="5"/>
  <c r="F295" i="5"/>
  <c r="F129" i="5"/>
  <c r="F544" i="5"/>
  <c r="F396" i="5"/>
  <c r="F191" i="5"/>
  <c r="F542" i="5"/>
  <c r="F372" i="5"/>
  <c r="F167" i="5"/>
  <c r="F559" i="5"/>
  <c r="F471" i="5"/>
  <c r="F356" i="5"/>
  <c r="F215" i="5"/>
  <c r="F54" i="5"/>
  <c r="F532" i="5"/>
  <c r="F439" i="5"/>
  <c r="F287" i="5"/>
  <c r="F145" i="5"/>
  <c r="F555" i="5"/>
  <c r="F448" i="5"/>
  <c r="F311" i="5"/>
  <c r="F119" i="5"/>
  <c r="F374" i="5"/>
  <c r="F278" i="5"/>
  <c r="F158" i="5"/>
  <c r="F411" i="5"/>
  <c r="F299" i="5"/>
  <c r="F195" i="5"/>
  <c r="F56" i="5"/>
  <c r="F370" i="5"/>
  <c r="F250" i="5"/>
  <c r="F114" i="5"/>
  <c r="F74" i="5"/>
  <c r="F66" i="5"/>
  <c r="F118" i="5"/>
  <c r="F395" i="5"/>
  <c r="F275" i="5"/>
  <c r="F155" i="5"/>
  <c r="F450" i="5"/>
  <c r="F346" i="5"/>
  <c r="F226" i="5"/>
  <c r="F43" i="5"/>
  <c r="F100" i="5"/>
  <c r="F355" i="5"/>
  <c r="F235" i="5"/>
  <c r="F139" i="5"/>
  <c r="F426" i="5"/>
  <c r="F306" i="5"/>
  <c r="F194" i="5"/>
  <c r="F85" i="5"/>
  <c r="F466" i="5"/>
  <c r="F313" i="5"/>
  <c r="F149" i="5"/>
  <c r="F554" i="5"/>
  <c r="F451" i="5"/>
  <c r="F289" i="5"/>
  <c r="F127" i="5"/>
  <c r="F567" i="5"/>
  <c r="F503" i="5"/>
  <c r="F432" i="5"/>
  <c r="F329" i="5"/>
  <c r="F228" i="5"/>
  <c r="F125" i="5"/>
  <c r="F580" i="5"/>
  <c r="F516" i="5"/>
  <c r="F449" i="5"/>
  <c r="F351" i="5"/>
  <c r="F223" i="5"/>
  <c r="F108" i="5"/>
  <c r="F563" i="5"/>
  <c r="F491" i="5"/>
  <c r="F400" i="5"/>
  <c r="F285" i="5"/>
  <c r="F132" i="5"/>
  <c r="F422" i="5"/>
  <c r="F342" i="5"/>
  <c r="F246" i="5"/>
  <c r="F166" i="5"/>
  <c r="F75" i="5"/>
  <c r="F363" i="5"/>
  <c r="F283" i="5"/>
  <c r="F203" i="5"/>
  <c r="F107" i="5"/>
  <c r="F434" i="5"/>
  <c r="F354" i="5"/>
  <c r="F258" i="5"/>
  <c r="F178" i="5"/>
  <c r="F94" i="5"/>
  <c r="F53" i="5"/>
  <c r="F58" i="5"/>
  <c r="F170" i="5"/>
  <c r="F80" i="5"/>
  <c r="F45" i="5"/>
  <c r="F50" i="5"/>
  <c r="F42" i="5"/>
  <c r="F416" i="5"/>
  <c r="F252" i="5"/>
  <c r="F78" i="5"/>
  <c r="F517" i="5"/>
  <c r="F392" i="5"/>
  <c r="F229" i="5"/>
  <c r="F39" i="5"/>
  <c r="F543" i="5"/>
  <c r="F479" i="5"/>
  <c r="F393" i="5"/>
  <c r="F292" i="5"/>
  <c r="F189" i="5"/>
  <c r="F76" i="5"/>
  <c r="F556" i="5"/>
  <c r="F492" i="5"/>
  <c r="F415" i="5"/>
  <c r="F300" i="5"/>
  <c r="F184" i="5"/>
  <c r="F47" i="5"/>
  <c r="F539" i="5"/>
  <c r="F467" i="5"/>
  <c r="F349" i="5"/>
  <c r="F221" i="5"/>
  <c r="F86" i="5"/>
  <c r="F398" i="5"/>
  <c r="F302" i="5"/>
  <c r="F222" i="5"/>
  <c r="F142" i="5"/>
  <c r="F419" i="5"/>
  <c r="F339" i="5"/>
  <c r="F259" i="5"/>
  <c r="F163" i="5"/>
  <c r="F70" i="5"/>
  <c r="F410" i="5"/>
  <c r="F314" i="5"/>
  <c r="F234" i="5"/>
  <c r="F154" i="5"/>
  <c r="F30" i="5"/>
  <c r="F29" i="5"/>
  <c r="F34" i="5"/>
  <c r="F81" i="5"/>
  <c r="F122" i="5"/>
  <c r="F93" i="5"/>
  <c r="F98" i="5"/>
  <c r="F73" i="5"/>
  <c r="F65" i="5"/>
  <c r="F57" i="5"/>
  <c r="F49" i="5"/>
  <c r="F41" i="5"/>
  <c r="F337" i="5"/>
  <c r="F236" i="5"/>
  <c r="F133" i="5"/>
  <c r="F587" i="5"/>
  <c r="F523" i="5"/>
  <c r="F459" i="5"/>
  <c r="F361" i="5"/>
  <c r="F260" i="5"/>
  <c r="F157" i="5"/>
  <c r="F454" i="5"/>
  <c r="F390" i="5"/>
  <c r="F326" i="5"/>
  <c r="F262" i="5"/>
  <c r="F198" i="5"/>
  <c r="F134" i="5"/>
  <c r="F48" i="5"/>
  <c r="F379" i="5"/>
  <c r="F315" i="5"/>
  <c r="F251" i="5"/>
  <c r="F187" i="5"/>
  <c r="F123" i="5"/>
  <c r="F31" i="5"/>
  <c r="F402" i="5"/>
  <c r="F338" i="5"/>
  <c r="F274" i="5"/>
  <c r="F210" i="5"/>
  <c r="F146" i="5"/>
  <c r="F68" i="5"/>
  <c r="F69" i="5"/>
  <c r="F90" i="5"/>
  <c r="F97" i="5"/>
  <c r="F33" i="5"/>
  <c r="F247" i="5"/>
  <c r="F144" i="5"/>
  <c r="F446" i="5"/>
  <c r="F382" i="5"/>
  <c r="F318" i="5"/>
  <c r="F254" i="5"/>
  <c r="F190" i="5"/>
  <c r="F126" i="5"/>
  <c r="F36" i="5"/>
  <c r="F371" i="5"/>
  <c r="F307" i="5"/>
  <c r="F243" i="5"/>
  <c r="F179" i="5"/>
  <c r="F115" i="5"/>
  <c r="F458" i="5"/>
  <c r="F394" i="5"/>
  <c r="F330" i="5"/>
  <c r="F266" i="5"/>
  <c r="F202" i="5"/>
  <c r="F138" i="5"/>
  <c r="F55" i="5"/>
  <c r="F61" i="5"/>
  <c r="F82" i="5"/>
  <c r="Z5" i="5"/>
  <c r="W4" i="5"/>
  <c r="G23" i="2"/>
  <c r="G24" i="4" s="1"/>
  <c r="F23" i="2"/>
  <c r="F24" i="4" s="1"/>
  <c r="H23" i="2"/>
  <c r="H24" i="4" s="1"/>
  <c r="E9" i="2"/>
  <c r="E12" i="4" s="1"/>
  <c r="G5" i="5" l="1"/>
  <c r="J5" i="5" s="1"/>
  <c r="L15" i="5"/>
  <c r="AB14" i="5" s="1"/>
  <c r="E20" i="2" s="1"/>
  <c r="E21" i="4" s="1"/>
  <c r="P4" i="5"/>
  <c r="R4" i="5" s="1"/>
  <c r="S5" i="5" s="1"/>
  <c r="W5" i="5" s="1"/>
  <c r="E16" i="5"/>
  <c r="E10" i="2"/>
  <c r="E13" i="4" s="1"/>
  <c r="H26" i="2"/>
  <c r="H27" i="4" s="1"/>
  <c r="G26" i="2"/>
  <c r="G27" i="4" s="1"/>
  <c r="F26" i="2"/>
  <c r="F27" i="4" s="1"/>
  <c r="E26" i="2"/>
  <c r="E27" i="4" s="1"/>
  <c r="G6" i="5" l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E25" i="2"/>
  <c r="E26" i="4" s="1"/>
  <c r="P5" i="5"/>
  <c r="R5" i="5" s="1"/>
  <c r="S6" i="5" s="1"/>
  <c r="E17" i="5"/>
  <c r="F10" i="2"/>
  <c r="E35" i="2"/>
  <c r="E27" i="2"/>
  <c r="F35" i="2" l="1"/>
  <c r="F13" i="4"/>
  <c r="E36" i="2"/>
  <c r="E28" i="4"/>
  <c r="P6" i="5"/>
  <c r="R6" i="5" s="1"/>
  <c r="S7" i="5" s="1"/>
  <c r="W6" i="5"/>
  <c r="G19" i="5"/>
  <c r="E18" i="5"/>
  <c r="G10" i="2"/>
  <c r="E31" i="2"/>
  <c r="G35" i="2" l="1"/>
  <c r="G13" i="4"/>
  <c r="P7" i="5"/>
  <c r="R7" i="5" s="1"/>
  <c r="S8" i="5" s="1"/>
  <c r="W7" i="5"/>
  <c r="G20" i="5"/>
  <c r="E19" i="5"/>
  <c r="H10" i="2"/>
  <c r="H35" i="2" l="1"/>
  <c r="H13" i="4"/>
  <c r="P8" i="5"/>
  <c r="R8" i="5" s="1"/>
  <c r="S9" i="5" s="1"/>
  <c r="W8" i="5"/>
  <c r="G21" i="5"/>
  <c r="E20" i="5"/>
  <c r="I10" i="2"/>
  <c r="I35" i="2" l="1"/>
  <c r="I13" i="4"/>
  <c r="P9" i="5"/>
  <c r="R9" i="5" s="1"/>
  <c r="S10" i="5" s="1"/>
  <c r="W9" i="5"/>
  <c r="G22" i="5"/>
  <c r="E21" i="5"/>
  <c r="J10" i="2"/>
  <c r="J35" i="2" l="1"/>
  <c r="J13" i="4"/>
  <c r="P10" i="5"/>
  <c r="R10" i="5" s="1"/>
  <c r="S11" i="5" s="1"/>
  <c r="W10" i="5"/>
  <c r="G23" i="5"/>
  <c r="E22" i="5"/>
  <c r="K10" i="2"/>
  <c r="K35" i="2" l="1"/>
  <c r="K13" i="4"/>
  <c r="P11" i="5"/>
  <c r="R11" i="5" s="1"/>
  <c r="S12" i="5" s="1"/>
  <c r="W11" i="5"/>
  <c r="G24" i="5"/>
  <c r="E23" i="5"/>
  <c r="L10" i="2"/>
  <c r="L35" i="2" l="1"/>
  <c r="L13" i="4"/>
  <c r="P12" i="5"/>
  <c r="R12" i="5" s="1"/>
  <c r="S13" i="5" s="1"/>
  <c r="W12" i="5"/>
  <c r="G25" i="5"/>
  <c r="E24" i="5"/>
  <c r="M10" i="2"/>
  <c r="M35" i="2" l="1"/>
  <c r="M13" i="4"/>
  <c r="N10" i="2"/>
  <c r="P13" i="5"/>
  <c r="R13" i="5" s="1"/>
  <c r="S14" i="5" s="1"/>
  <c r="W13" i="5"/>
  <c r="G26" i="5"/>
  <c r="E25" i="5"/>
  <c r="N35" i="2" l="1"/>
  <c r="N13" i="4"/>
  <c r="O10" i="2"/>
  <c r="P14" i="5"/>
  <c r="R14" i="5" s="1"/>
  <c r="S15" i="5" s="1"/>
  <c r="W14" i="5"/>
  <c r="G27" i="5"/>
  <c r="E26" i="5"/>
  <c r="O35" i="2" l="1"/>
  <c r="O13" i="4"/>
  <c r="P10" i="2"/>
  <c r="P15" i="5"/>
  <c r="R15" i="5" s="1"/>
  <c r="S16" i="5" s="1"/>
  <c r="Q16" i="5" s="1"/>
  <c r="W15" i="5"/>
  <c r="G28" i="5"/>
  <c r="J28" i="5" s="1"/>
  <c r="E27" i="5"/>
  <c r="P35" i="2" l="1"/>
  <c r="P13" i="4"/>
  <c r="Q10" i="2"/>
  <c r="P16" i="5"/>
  <c r="R16" i="5" s="1"/>
  <c r="S17" i="5" s="1"/>
  <c r="Q17" i="5" s="1"/>
  <c r="W16" i="5"/>
  <c r="E28" i="5"/>
  <c r="G29" i="5"/>
  <c r="J29" i="5" s="1"/>
  <c r="Q35" i="2" l="1"/>
  <c r="Q13" i="4"/>
  <c r="R10" i="2"/>
  <c r="P17" i="5"/>
  <c r="R17" i="5" s="1"/>
  <c r="S18" i="5" s="1"/>
  <c r="Q18" i="5" s="1"/>
  <c r="W17" i="5"/>
  <c r="E29" i="5"/>
  <c r="G30" i="5"/>
  <c r="J30" i="5" s="1"/>
  <c r="R35" i="2" l="1"/>
  <c r="R13" i="4"/>
  <c r="S10" i="2"/>
  <c r="T10" i="2" s="1"/>
  <c r="P18" i="5"/>
  <c r="R18" i="5" s="1"/>
  <c r="S19" i="5" s="1"/>
  <c r="Q19" i="5" s="1"/>
  <c r="W18" i="5"/>
  <c r="E30" i="5"/>
  <c r="G31" i="5"/>
  <c r="J31" i="5" s="1"/>
  <c r="T35" i="2" l="1"/>
  <c r="T13" i="4"/>
  <c r="S35" i="2"/>
  <c r="S13" i="4"/>
  <c r="P19" i="5"/>
  <c r="R19" i="5" s="1"/>
  <c r="S20" i="5" s="1"/>
  <c r="Q20" i="5" s="1"/>
  <c r="W19" i="5"/>
  <c r="E31" i="5"/>
  <c r="G32" i="5"/>
  <c r="J32" i="5" s="1"/>
  <c r="U10" i="2"/>
  <c r="U35" i="2" l="1"/>
  <c r="U13" i="4"/>
  <c r="P20" i="5"/>
  <c r="R20" i="5" s="1"/>
  <c r="S21" i="5" s="1"/>
  <c r="Q21" i="5" s="1"/>
  <c r="W20" i="5"/>
  <c r="E32" i="5"/>
  <c r="G33" i="5"/>
  <c r="J33" i="5" s="1"/>
  <c r="V10" i="2"/>
  <c r="V35" i="2" l="1"/>
  <c r="V13" i="4"/>
  <c r="P21" i="5"/>
  <c r="R21" i="5" s="1"/>
  <c r="S22" i="5" s="1"/>
  <c r="Q22" i="5" s="1"/>
  <c r="W21" i="5"/>
  <c r="E33" i="5"/>
  <c r="G34" i="5"/>
  <c r="J34" i="5" s="1"/>
  <c r="W10" i="2"/>
  <c r="W35" i="2" l="1"/>
  <c r="W13" i="4"/>
  <c r="P22" i="5"/>
  <c r="R22" i="5" s="1"/>
  <c r="S23" i="5" s="1"/>
  <c r="Q23" i="5" s="1"/>
  <c r="W22" i="5"/>
  <c r="E34" i="5"/>
  <c r="G35" i="5"/>
  <c r="J35" i="5" s="1"/>
  <c r="X10" i="2"/>
  <c r="X35" i="2" l="1"/>
  <c r="X13" i="4"/>
  <c r="P23" i="5"/>
  <c r="R23" i="5" s="1"/>
  <c r="S24" i="5" s="1"/>
  <c r="Q24" i="5" s="1"/>
  <c r="W23" i="5"/>
  <c r="E35" i="5"/>
  <c r="G36" i="5"/>
  <c r="J36" i="5" s="1"/>
  <c r="Y10" i="2"/>
  <c r="Y35" i="2" l="1"/>
  <c r="Y13" i="4"/>
  <c r="P24" i="5"/>
  <c r="R24" i="5" s="1"/>
  <c r="S25" i="5" s="1"/>
  <c r="Q25" i="5" s="1"/>
  <c r="W24" i="5"/>
  <c r="E36" i="5"/>
  <c r="G37" i="5"/>
  <c r="J37" i="5" s="1"/>
  <c r="Z10" i="2"/>
  <c r="Z35" i="2" l="1"/>
  <c r="Z13" i="4"/>
  <c r="P25" i="5"/>
  <c r="R25" i="5" s="1"/>
  <c r="S26" i="5" s="1"/>
  <c r="Q26" i="5" s="1"/>
  <c r="W25" i="5"/>
  <c r="E37" i="5"/>
  <c r="G38" i="5"/>
  <c r="J38" i="5" s="1"/>
  <c r="AA10" i="2"/>
  <c r="AA35" i="2" l="1"/>
  <c r="AA13" i="4"/>
  <c r="P26" i="5"/>
  <c r="R26" i="5" s="1"/>
  <c r="S27" i="5" s="1"/>
  <c r="Q27" i="5" s="1"/>
  <c r="W26" i="5"/>
  <c r="E38" i="5"/>
  <c r="G39" i="5"/>
  <c r="J39" i="5" s="1"/>
  <c r="AB10" i="2"/>
  <c r="AB35" i="2" l="1"/>
  <c r="AB13" i="4"/>
  <c r="P27" i="5"/>
  <c r="R27" i="5" s="1"/>
  <c r="S28" i="5" s="1"/>
  <c r="W27" i="5"/>
  <c r="E39" i="5"/>
  <c r="G40" i="5"/>
  <c r="J40" i="5" s="1"/>
  <c r="AC10" i="2"/>
  <c r="AC35" i="2" l="1"/>
  <c r="AC13" i="4"/>
  <c r="Q28" i="5"/>
  <c r="P28" i="5" s="1"/>
  <c r="R28" i="5" s="1"/>
  <c r="S29" i="5" s="1"/>
  <c r="W29" i="5" s="1"/>
  <c r="W28" i="5"/>
  <c r="O25" i="5"/>
  <c r="O23" i="5"/>
  <c r="O21" i="5"/>
  <c r="O19" i="5"/>
  <c r="O26" i="5"/>
  <c r="O17" i="5"/>
  <c r="O18" i="5"/>
  <c r="O22" i="5"/>
  <c r="O24" i="5"/>
  <c r="O20" i="5"/>
  <c r="O16" i="5"/>
  <c r="O27" i="5"/>
  <c r="G41" i="5"/>
  <c r="J41" i="5" s="1"/>
  <c r="E40" i="5"/>
  <c r="Q29" i="5" l="1"/>
  <c r="P29" i="5" s="1"/>
  <c r="R29" i="5" s="1"/>
  <c r="S30" i="5" s="1"/>
  <c r="X27" i="5"/>
  <c r="G42" i="5"/>
  <c r="J42" i="5" s="1"/>
  <c r="E41" i="5"/>
  <c r="Q30" i="5" l="1"/>
  <c r="P30" i="5" s="1"/>
  <c r="R30" i="5" s="1"/>
  <c r="S31" i="5" s="1"/>
  <c r="Q31" i="5" s="1"/>
  <c r="W30" i="5"/>
  <c r="G43" i="5"/>
  <c r="J43" i="5" s="1"/>
  <c r="E42" i="5"/>
  <c r="W31" i="5" l="1"/>
  <c r="P31" i="5"/>
  <c r="R31" i="5" s="1"/>
  <c r="S32" i="5" s="1"/>
  <c r="E43" i="5"/>
  <c r="G44" i="5"/>
  <c r="J44" i="5" s="1"/>
  <c r="Q32" i="5" l="1"/>
  <c r="P32" i="5" s="1"/>
  <c r="R32" i="5" s="1"/>
  <c r="S33" i="5" s="1"/>
  <c r="W33" i="5" s="1"/>
  <c r="W32" i="5"/>
  <c r="E44" i="5"/>
  <c r="G45" i="5"/>
  <c r="J45" i="5" s="1"/>
  <c r="Q33" i="5" l="1"/>
  <c r="P33" i="5" s="1"/>
  <c r="R33" i="5" s="1"/>
  <c r="S34" i="5" s="1"/>
  <c r="G46" i="5"/>
  <c r="J46" i="5" s="1"/>
  <c r="E45" i="5"/>
  <c r="Q34" i="5" l="1"/>
  <c r="P34" i="5" s="1"/>
  <c r="R34" i="5" s="1"/>
  <c r="S35" i="5" s="1"/>
  <c r="W34" i="5"/>
  <c r="G47" i="5"/>
  <c r="J47" i="5" s="1"/>
  <c r="E46" i="5"/>
  <c r="Q35" i="5" l="1"/>
  <c r="P35" i="5" s="1"/>
  <c r="R35" i="5" s="1"/>
  <c r="S36" i="5" s="1"/>
  <c r="W35" i="5"/>
  <c r="E47" i="5"/>
  <c r="G48" i="5"/>
  <c r="J48" i="5" s="1"/>
  <c r="Q36" i="5" l="1"/>
  <c r="P36" i="5" s="1"/>
  <c r="R36" i="5" s="1"/>
  <c r="S37" i="5" s="1"/>
  <c r="W36" i="5"/>
  <c r="G49" i="5"/>
  <c r="J49" i="5" s="1"/>
  <c r="E48" i="5"/>
  <c r="Q37" i="5" l="1"/>
  <c r="P37" i="5" s="1"/>
  <c r="R37" i="5" s="1"/>
  <c r="S38" i="5" s="1"/>
  <c r="W37" i="5"/>
  <c r="G50" i="5"/>
  <c r="J50" i="5" s="1"/>
  <c r="E49" i="5"/>
  <c r="Q38" i="5" l="1"/>
  <c r="P38" i="5" s="1"/>
  <c r="R38" i="5" s="1"/>
  <c r="S39" i="5" s="1"/>
  <c r="W39" i="5" s="1"/>
  <c r="W38" i="5"/>
  <c r="E50" i="5"/>
  <c r="G51" i="5"/>
  <c r="J51" i="5" s="1"/>
  <c r="Q39" i="5" l="1"/>
  <c r="P39" i="5" s="1"/>
  <c r="G52" i="5"/>
  <c r="J52" i="5" s="1"/>
  <c r="E51" i="5"/>
  <c r="R39" i="5" l="1"/>
  <c r="S40" i="5" s="1"/>
  <c r="E52" i="5"/>
  <c r="G53" i="5"/>
  <c r="J53" i="5" s="1"/>
  <c r="Q40" i="5" l="1"/>
  <c r="P40" i="5" s="1"/>
  <c r="R40" i="5" s="1"/>
  <c r="S41" i="5" s="1"/>
  <c r="W40" i="5"/>
  <c r="G54" i="5"/>
  <c r="J54" i="5" s="1"/>
  <c r="E53" i="5"/>
  <c r="Q41" i="5" l="1"/>
  <c r="P41" i="5" s="1"/>
  <c r="R41" i="5" s="1"/>
  <c r="S42" i="5" s="1"/>
  <c r="W41" i="5"/>
  <c r="G55" i="5"/>
  <c r="J55" i="5" s="1"/>
  <c r="E54" i="5"/>
  <c r="Q42" i="5" l="1"/>
  <c r="P42" i="5" s="1"/>
  <c r="R42" i="5" s="1"/>
  <c r="S43" i="5" s="1"/>
  <c r="W42" i="5"/>
  <c r="G56" i="5"/>
  <c r="J56" i="5" s="1"/>
  <c r="E55" i="5"/>
  <c r="Q43" i="5" l="1"/>
  <c r="P43" i="5" s="1"/>
  <c r="R43" i="5" s="1"/>
  <c r="S44" i="5" s="1"/>
  <c r="W43" i="5"/>
  <c r="G57" i="5"/>
  <c r="J57" i="5" s="1"/>
  <c r="E56" i="5"/>
  <c r="Q44" i="5" l="1"/>
  <c r="P44" i="5" s="1"/>
  <c r="R44" i="5" s="1"/>
  <c r="S45" i="5" s="1"/>
  <c r="W45" i="5" s="1"/>
  <c r="W44" i="5"/>
  <c r="G58" i="5"/>
  <c r="J58" i="5" s="1"/>
  <c r="E57" i="5"/>
  <c r="Q45" i="5" l="1"/>
  <c r="P45" i="5" s="1"/>
  <c r="G59" i="5"/>
  <c r="J59" i="5" s="1"/>
  <c r="E58" i="5"/>
  <c r="R45" i="5" l="1"/>
  <c r="S46" i="5" s="1"/>
  <c r="W46" i="5" s="1"/>
  <c r="G60" i="5"/>
  <c r="J60" i="5" s="1"/>
  <c r="E59" i="5"/>
  <c r="Q46" i="5" l="1"/>
  <c r="P46" i="5" s="1"/>
  <c r="G61" i="5"/>
  <c r="J61" i="5" s="1"/>
  <c r="E60" i="5"/>
  <c r="R46" i="5" l="1"/>
  <c r="S47" i="5" s="1"/>
  <c r="W47" i="5" s="1"/>
  <c r="G62" i="5"/>
  <c r="J62" i="5" s="1"/>
  <c r="E61" i="5"/>
  <c r="Q47" i="5" l="1"/>
  <c r="P47" i="5" s="1"/>
  <c r="G63" i="5"/>
  <c r="J63" i="5" s="1"/>
  <c r="E62" i="5"/>
  <c r="R47" i="5" l="1"/>
  <c r="S48" i="5" s="1"/>
  <c r="W48" i="5" s="1"/>
  <c r="E63" i="5"/>
  <c r="G64" i="5"/>
  <c r="E64" i="5" s="1"/>
  <c r="Q48" i="5" l="1"/>
  <c r="P48" i="5" s="1"/>
  <c r="G65" i="5"/>
  <c r="R48" i="5" l="1"/>
  <c r="S49" i="5" s="1"/>
  <c r="E65" i="5"/>
  <c r="G66" i="5"/>
  <c r="Q49" i="5" l="1"/>
  <c r="P49" i="5" s="1"/>
  <c r="R49" i="5" s="1"/>
  <c r="S50" i="5" s="1"/>
  <c r="W50" i="5" s="1"/>
  <c r="W49" i="5"/>
  <c r="E66" i="5"/>
  <c r="G67" i="5"/>
  <c r="Q50" i="5" l="1"/>
  <c r="P50" i="5" s="1"/>
  <c r="E67" i="5"/>
  <c r="G68" i="5"/>
  <c r="R50" i="5" l="1"/>
  <c r="S51" i="5" s="1"/>
  <c r="W51" i="5" s="1"/>
  <c r="E68" i="5"/>
  <c r="G69" i="5"/>
  <c r="Q51" i="5" l="1"/>
  <c r="P51" i="5" s="1"/>
  <c r="E69" i="5"/>
  <c r="G70" i="5"/>
  <c r="R51" i="5" l="1"/>
  <c r="S52" i="5" s="1"/>
  <c r="E70" i="5"/>
  <c r="G71" i="5"/>
  <c r="Q52" i="5" l="1"/>
  <c r="P52" i="5" s="1"/>
  <c r="R52" i="5" s="1"/>
  <c r="S53" i="5" s="1"/>
  <c r="W52" i="5"/>
  <c r="E71" i="5"/>
  <c r="G72" i="5"/>
  <c r="Q53" i="5" l="1"/>
  <c r="P53" i="5" s="1"/>
  <c r="R53" i="5" s="1"/>
  <c r="S54" i="5" s="1"/>
  <c r="W54" i="5" s="1"/>
  <c r="W53" i="5"/>
  <c r="E72" i="5"/>
  <c r="G73" i="5"/>
  <c r="Q54" i="5" l="1"/>
  <c r="P54" i="5" s="1"/>
  <c r="E73" i="5"/>
  <c r="G74" i="5"/>
  <c r="R54" i="5" l="1"/>
  <c r="S55" i="5" s="1"/>
  <c r="E74" i="5"/>
  <c r="G75" i="5"/>
  <c r="Q55" i="5" l="1"/>
  <c r="P55" i="5" s="1"/>
  <c r="R55" i="5" s="1"/>
  <c r="S56" i="5" s="1"/>
  <c r="W56" i="5" s="1"/>
  <c r="W55" i="5"/>
  <c r="E75" i="5"/>
  <c r="G76" i="5"/>
  <c r="Q56" i="5" l="1"/>
  <c r="P56" i="5" s="1"/>
  <c r="E76" i="5"/>
  <c r="G77" i="5"/>
  <c r="R56" i="5" l="1"/>
  <c r="S57" i="5" s="1"/>
  <c r="W57" i="5" s="1"/>
  <c r="E77" i="5"/>
  <c r="G78" i="5"/>
  <c r="Q57" i="5" l="1"/>
  <c r="P57" i="5" s="1"/>
  <c r="E78" i="5"/>
  <c r="G79" i="5"/>
  <c r="R57" i="5" l="1"/>
  <c r="S58" i="5" s="1"/>
  <c r="W58" i="5" s="1"/>
  <c r="E79" i="5"/>
  <c r="G80" i="5"/>
  <c r="Q58" i="5" l="1"/>
  <c r="P58" i="5" s="1"/>
  <c r="E80" i="5"/>
  <c r="G81" i="5"/>
  <c r="R58" i="5" l="1"/>
  <c r="S59" i="5" s="1"/>
  <c r="W59" i="5" s="1"/>
  <c r="E81" i="5"/>
  <c r="G82" i="5"/>
  <c r="Q59" i="5" l="1"/>
  <c r="P59" i="5" s="1"/>
  <c r="E82" i="5"/>
  <c r="G83" i="5"/>
  <c r="R59" i="5" l="1"/>
  <c r="S60" i="5" s="1"/>
  <c r="W60" i="5" s="1"/>
  <c r="E83" i="5"/>
  <c r="G84" i="5"/>
  <c r="Q60" i="5" l="1"/>
  <c r="P60" i="5" s="1"/>
  <c r="E84" i="5"/>
  <c r="G85" i="5"/>
  <c r="R60" i="5" l="1"/>
  <c r="S61" i="5" s="1"/>
  <c r="W61" i="5" s="1"/>
  <c r="E85" i="5"/>
  <c r="G86" i="5"/>
  <c r="Q61" i="5" l="1"/>
  <c r="P61" i="5" s="1"/>
  <c r="E86" i="5"/>
  <c r="G87" i="5"/>
  <c r="R61" i="5" l="1"/>
  <c r="S62" i="5" s="1"/>
  <c r="E87" i="5"/>
  <c r="G88" i="5"/>
  <c r="Q62" i="5" l="1"/>
  <c r="P62" i="5" s="1"/>
  <c r="R62" i="5" s="1"/>
  <c r="S63" i="5" s="1"/>
  <c r="W62" i="5"/>
  <c r="E88" i="5"/>
  <c r="G89" i="5"/>
  <c r="Q63" i="5" l="1"/>
  <c r="P63" i="5" s="1"/>
  <c r="R63" i="5" s="1"/>
  <c r="S64" i="5" s="1"/>
  <c r="W63" i="5"/>
  <c r="X4" i="5" s="1"/>
  <c r="O63" i="5" s="1"/>
  <c r="E89" i="5"/>
  <c r="G90" i="5"/>
  <c r="O28" i="5" l="1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Z64" i="5"/>
  <c r="Q64" i="5"/>
  <c r="E90" i="5"/>
  <c r="G91" i="5"/>
  <c r="X63" i="5" l="1"/>
  <c r="X39" i="5"/>
  <c r="X51" i="5"/>
  <c r="P64" i="5"/>
  <c r="E91" i="5"/>
  <c r="G92" i="5"/>
  <c r="R64" i="5" l="1"/>
  <c r="S65" i="5" s="1"/>
  <c r="O64" i="5"/>
  <c r="E92" i="5"/>
  <c r="G93" i="5"/>
  <c r="Q65" i="5" l="1"/>
  <c r="P65" i="5" s="1"/>
  <c r="E93" i="5"/>
  <c r="G94" i="5"/>
  <c r="R65" i="5" l="1"/>
  <c r="S66" i="5" s="1"/>
  <c r="Q66" i="5" s="1"/>
  <c r="P66" i="5" s="1"/>
  <c r="O65" i="5"/>
  <c r="E94" i="5"/>
  <c r="G95" i="5"/>
  <c r="R66" i="5" l="1"/>
  <c r="S67" i="5" s="1"/>
  <c r="Q67" i="5" s="1"/>
  <c r="P67" i="5" s="1"/>
  <c r="O66" i="5"/>
  <c r="E95" i="5"/>
  <c r="G96" i="5"/>
  <c r="R67" i="5" l="1"/>
  <c r="S68" i="5" s="1"/>
  <c r="Q68" i="5" s="1"/>
  <c r="P68" i="5" s="1"/>
  <c r="O67" i="5"/>
  <c r="E96" i="5"/>
  <c r="G97" i="5"/>
  <c r="R68" i="5" l="1"/>
  <c r="S69" i="5" s="1"/>
  <c r="Q69" i="5" s="1"/>
  <c r="P69" i="5" s="1"/>
  <c r="O68" i="5"/>
  <c r="E97" i="5"/>
  <c r="G98" i="5"/>
  <c r="R69" i="5" l="1"/>
  <c r="S70" i="5" s="1"/>
  <c r="Q70" i="5" s="1"/>
  <c r="P70" i="5" s="1"/>
  <c r="O69" i="5"/>
  <c r="E98" i="5"/>
  <c r="G99" i="5"/>
  <c r="R70" i="5" l="1"/>
  <c r="S71" i="5" s="1"/>
  <c r="Q71" i="5" s="1"/>
  <c r="P71" i="5" s="1"/>
  <c r="O70" i="5"/>
  <c r="E99" i="5"/>
  <c r="G100" i="5"/>
  <c r="R71" i="5" l="1"/>
  <c r="S72" i="5" s="1"/>
  <c r="Q72" i="5" s="1"/>
  <c r="P72" i="5" s="1"/>
  <c r="O71" i="5"/>
  <c r="E100" i="5"/>
  <c r="G101" i="5"/>
  <c r="R72" i="5" l="1"/>
  <c r="S73" i="5" s="1"/>
  <c r="Q73" i="5" s="1"/>
  <c r="P73" i="5" s="1"/>
  <c r="O72" i="5"/>
  <c r="E101" i="5"/>
  <c r="G102" i="5"/>
  <c r="R73" i="5" l="1"/>
  <c r="S74" i="5" s="1"/>
  <c r="Q74" i="5" s="1"/>
  <c r="P74" i="5" s="1"/>
  <c r="O73" i="5"/>
  <c r="E102" i="5"/>
  <c r="G103" i="5"/>
  <c r="R74" i="5" l="1"/>
  <c r="S75" i="5" s="1"/>
  <c r="Q75" i="5" s="1"/>
  <c r="P75" i="5" s="1"/>
  <c r="O74" i="5"/>
  <c r="E103" i="5"/>
  <c r="G104" i="5"/>
  <c r="R75" i="5" l="1"/>
  <c r="S76" i="5" s="1"/>
  <c r="Q76" i="5" s="1"/>
  <c r="P76" i="5" s="1"/>
  <c r="O75" i="5"/>
  <c r="X75" i="5" s="1"/>
  <c r="E104" i="5"/>
  <c r="G105" i="5"/>
  <c r="R76" i="5" l="1"/>
  <c r="S77" i="5" s="1"/>
  <c r="Q77" i="5" s="1"/>
  <c r="P77" i="5" s="1"/>
  <c r="O76" i="5"/>
  <c r="E105" i="5"/>
  <c r="G106" i="5"/>
  <c r="R77" i="5" l="1"/>
  <c r="S78" i="5" s="1"/>
  <c r="Q78" i="5" s="1"/>
  <c r="P78" i="5" s="1"/>
  <c r="O77" i="5"/>
  <c r="E106" i="5"/>
  <c r="G107" i="5"/>
  <c r="R78" i="5" l="1"/>
  <c r="S79" i="5" s="1"/>
  <c r="Q79" i="5" s="1"/>
  <c r="P79" i="5" s="1"/>
  <c r="O78" i="5"/>
  <c r="E107" i="5"/>
  <c r="G108" i="5"/>
  <c r="R79" i="5" l="1"/>
  <c r="S80" i="5" s="1"/>
  <c r="Q80" i="5" s="1"/>
  <c r="P80" i="5" s="1"/>
  <c r="O79" i="5"/>
  <c r="E108" i="5"/>
  <c r="G109" i="5"/>
  <c r="R80" i="5" l="1"/>
  <c r="S81" i="5" s="1"/>
  <c r="Q81" i="5" s="1"/>
  <c r="P81" i="5" s="1"/>
  <c r="O80" i="5"/>
  <c r="E109" i="5"/>
  <c r="G110" i="5"/>
  <c r="R81" i="5" l="1"/>
  <c r="S82" i="5" s="1"/>
  <c r="Q82" i="5" s="1"/>
  <c r="P82" i="5" s="1"/>
  <c r="O81" i="5"/>
  <c r="E110" i="5"/>
  <c r="G111" i="5"/>
  <c r="R82" i="5" l="1"/>
  <c r="S83" i="5" s="1"/>
  <c r="Q83" i="5" s="1"/>
  <c r="P83" i="5" s="1"/>
  <c r="O82" i="5"/>
  <c r="E111" i="5"/>
  <c r="G112" i="5"/>
  <c r="R83" i="5" l="1"/>
  <c r="S84" i="5" s="1"/>
  <c r="Q84" i="5" s="1"/>
  <c r="P84" i="5" s="1"/>
  <c r="O83" i="5"/>
  <c r="E112" i="5"/>
  <c r="G113" i="5"/>
  <c r="R84" i="5" l="1"/>
  <c r="S85" i="5" s="1"/>
  <c r="Q85" i="5" s="1"/>
  <c r="P85" i="5" s="1"/>
  <c r="O84" i="5"/>
  <c r="E113" i="5"/>
  <c r="G114" i="5"/>
  <c r="R85" i="5" l="1"/>
  <c r="S86" i="5" s="1"/>
  <c r="Q86" i="5" s="1"/>
  <c r="P86" i="5" s="1"/>
  <c r="O85" i="5"/>
  <c r="E114" i="5"/>
  <c r="G115" i="5"/>
  <c r="R86" i="5" l="1"/>
  <c r="S87" i="5" s="1"/>
  <c r="Q87" i="5" s="1"/>
  <c r="P87" i="5" s="1"/>
  <c r="O86" i="5"/>
  <c r="E115" i="5"/>
  <c r="G116" i="5"/>
  <c r="R87" i="5" l="1"/>
  <c r="S88" i="5" s="1"/>
  <c r="Q88" i="5" s="1"/>
  <c r="P88" i="5" s="1"/>
  <c r="O87" i="5"/>
  <c r="X87" i="5" s="1"/>
  <c r="E116" i="5"/>
  <c r="G117" i="5"/>
  <c r="R88" i="5" l="1"/>
  <c r="S89" i="5" s="1"/>
  <c r="Q89" i="5" s="1"/>
  <c r="P89" i="5" s="1"/>
  <c r="O88" i="5"/>
  <c r="E117" i="5"/>
  <c r="G118" i="5"/>
  <c r="R89" i="5" l="1"/>
  <c r="S90" i="5" s="1"/>
  <c r="Q90" i="5" s="1"/>
  <c r="P90" i="5" s="1"/>
  <c r="O89" i="5"/>
  <c r="E118" i="5"/>
  <c r="G119" i="5"/>
  <c r="R90" i="5" l="1"/>
  <c r="S91" i="5" s="1"/>
  <c r="Q91" i="5" s="1"/>
  <c r="P91" i="5" s="1"/>
  <c r="O90" i="5"/>
  <c r="E119" i="5"/>
  <c r="G120" i="5"/>
  <c r="R91" i="5" l="1"/>
  <c r="S92" i="5" s="1"/>
  <c r="Q92" i="5" s="1"/>
  <c r="P92" i="5" s="1"/>
  <c r="O91" i="5"/>
  <c r="E120" i="5"/>
  <c r="G121" i="5"/>
  <c r="R92" i="5" l="1"/>
  <c r="S93" i="5" s="1"/>
  <c r="Q93" i="5" s="1"/>
  <c r="P93" i="5" s="1"/>
  <c r="O92" i="5"/>
  <c r="E121" i="5"/>
  <c r="G122" i="5"/>
  <c r="R93" i="5" l="1"/>
  <c r="S94" i="5" s="1"/>
  <c r="Q94" i="5" s="1"/>
  <c r="P94" i="5" s="1"/>
  <c r="O93" i="5"/>
  <c r="E122" i="5"/>
  <c r="G123" i="5"/>
  <c r="R94" i="5" l="1"/>
  <c r="S95" i="5" s="1"/>
  <c r="Q95" i="5" s="1"/>
  <c r="P95" i="5" s="1"/>
  <c r="O94" i="5"/>
  <c r="E123" i="5"/>
  <c r="G124" i="5"/>
  <c r="R95" i="5" l="1"/>
  <c r="S96" i="5" s="1"/>
  <c r="Q96" i="5" s="1"/>
  <c r="P96" i="5" s="1"/>
  <c r="O95" i="5"/>
  <c r="E124" i="5"/>
  <c r="G125" i="5"/>
  <c r="R96" i="5" l="1"/>
  <c r="S97" i="5" s="1"/>
  <c r="Q97" i="5" s="1"/>
  <c r="P97" i="5" s="1"/>
  <c r="O96" i="5"/>
  <c r="E125" i="5"/>
  <c r="G126" i="5"/>
  <c r="R97" i="5" l="1"/>
  <c r="S98" i="5" s="1"/>
  <c r="Q98" i="5" s="1"/>
  <c r="P98" i="5" s="1"/>
  <c r="O97" i="5"/>
  <c r="E126" i="5"/>
  <c r="G127" i="5"/>
  <c r="R98" i="5" l="1"/>
  <c r="S99" i="5" s="1"/>
  <c r="Q99" i="5" s="1"/>
  <c r="P99" i="5" s="1"/>
  <c r="O98" i="5"/>
  <c r="E127" i="5"/>
  <c r="G128" i="5"/>
  <c r="R99" i="5" l="1"/>
  <c r="S100" i="5" s="1"/>
  <c r="Q100" i="5" s="1"/>
  <c r="P100" i="5" s="1"/>
  <c r="O99" i="5"/>
  <c r="X99" i="5" s="1"/>
  <c r="E128" i="5"/>
  <c r="G129" i="5"/>
  <c r="R100" i="5" l="1"/>
  <c r="S101" i="5" s="1"/>
  <c r="Q101" i="5" s="1"/>
  <c r="P101" i="5" s="1"/>
  <c r="O100" i="5"/>
  <c r="E129" i="5"/>
  <c r="G130" i="5"/>
  <c r="R101" i="5" l="1"/>
  <c r="S102" i="5" s="1"/>
  <c r="Q102" i="5" s="1"/>
  <c r="P102" i="5" s="1"/>
  <c r="O101" i="5"/>
  <c r="E130" i="5"/>
  <c r="G131" i="5"/>
  <c r="R102" i="5" l="1"/>
  <c r="S103" i="5" s="1"/>
  <c r="Q103" i="5" s="1"/>
  <c r="P103" i="5" s="1"/>
  <c r="O102" i="5"/>
  <c r="E131" i="5"/>
  <c r="G132" i="5"/>
  <c r="R103" i="5" l="1"/>
  <c r="S104" i="5" s="1"/>
  <c r="Q104" i="5" s="1"/>
  <c r="P104" i="5" s="1"/>
  <c r="O103" i="5"/>
  <c r="E132" i="5"/>
  <c r="G133" i="5"/>
  <c r="R104" i="5" l="1"/>
  <c r="S105" i="5" s="1"/>
  <c r="Q105" i="5" s="1"/>
  <c r="P105" i="5" s="1"/>
  <c r="O104" i="5"/>
  <c r="E133" i="5"/>
  <c r="G134" i="5"/>
  <c r="R105" i="5" l="1"/>
  <c r="S106" i="5" s="1"/>
  <c r="Q106" i="5" s="1"/>
  <c r="P106" i="5" s="1"/>
  <c r="O105" i="5"/>
  <c r="E134" i="5"/>
  <c r="G135" i="5"/>
  <c r="R106" i="5" l="1"/>
  <c r="S107" i="5" s="1"/>
  <c r="Q107" i="5" s="1"/>
  <c r="P107" i="5" s="1"/>
  <c r="O106" i="5"/>
  <c r="E135" i="5"/>
  <c r="G136" i="5"/>
  <c r="R107" i="5" l="1"/>
  <c r="S108" i="5" s="1"/>
  <c r="Q108" i="5" s="1"/>
  <c r="P108" i="5" s="1"/>
  <c r="O107" i="5"/>
  <c r="E136" i="5"/>
  <c r="G137" i="5"/>
  <c r="R108" i="5" l="1"/>
  <c r="S109" i="5" s="1"/>
  <c r="Q109" i="5" s="1"/>
  <c r="P109" i="5" s="1"/>
  <c r="O108" i="5"/>
  <c r="E137" i="5"/>
  <c r="G138" i="5"/>
  <c r="R109" i="5" l="1"/>
  <c r="S110" i="5" s="1"/>
  <c r="Q110" i="5" s="1"/>
  <c r="P110" i="5" s="1"/>
  <c r="O109" i="5"/>
  <c r="E138" i="5"/>
  <c r="G139" i="5"/>
  <c r="R110" i="5" l="1"/>
  <c r="S111" i="5" s="1"/>
  <c r="Q111" i="5" s="1"/>
  <c r="P111" i="5" s="1"/>
  <c r="O110" i="5"/>
  <c r="E139" i="5"/>
  <c r="G140" i="5"/>
  <c r="R111" i="5" l="1"/>
  <c r="S112" i="5" s="1"/>
  <c r="Q112" i="5" s="1"/>
  <c r="P112" i="5" s="1"/>
  <c r="O111" i="5"/>
  <c r="X111" i="5" s="1"/>
  <c r="E140" i="5"/>
  <c r="G141" i="5"/>
  <c r="R112" i="5" l="1"/>
  <c r="S113" i="5" s="1"/>
  <c r="Q113" i="5" s="1"/>
  <c r="P113" i="5" s="1"/>
  <c r="O112" i="5"/>
  <c r="E141" i="5"/>
  <c r="G142" i="5"/>
  <c r="R113" i="5" l="1"/>
  <c r="S114" i="5" s="1"/>
  <c r="Q114" i="5" s="1"/>
  <c r="P114" i="5" s="1"/>
  <c r="O113" i="5"/>
  <c r="E142" i="5"/>
  <c r="G143" i="5"/>
  <c r="R114" i="5" l="1"/>
  <c r="S115" i="5" s="1"/>
  <c r="Q115" i="5" s="1"/>
  <c r="P115" i="5" s="1"/>
  <c r="O114" i="5"/>
  <c r="E143" i="5"/>
  <c r="G144" i="5"/>
  <c r="R115" i="5" l="1"/>
  <c r="S116" i="5" s="1"/>
  <c r="Q116" i="5" s="1"/>
  <c r="P116" i="5" s="1"/>
  <c r="O115" i="5"/>
  <c r="E144" i="5"/>
  <c r="G145" i="5"/>
  <c r="R116" i="5" l="1"/>
  <c r="S117" i="5" s="1"/>
  <c r="Q117" i="5" s="1"/>
  <c r="P117" i="5" s="1"/>
  <c r="O116" i="5"/>
  <c r="E145" i="5"/>
  <c r="G146" i="5"/>
  <c r="R117" i="5" l="1"/>
  <c r="S118" i="5" s="1"/>
  <c r="Q118" i="5" s="1"/>
  <c r="P118" i="5" s="1"/>
  <c r="O117" i="5"/>
  <c r="E146" i="5"/>
  <c r="G147" i="5"/>
  <c r="R118" i="5" l="1"/>
  <c r="S119" i="5" s="1"/>
  <c r="Q119" i="5" s="1"/>
  <c r="P119" i="5" s="1"/>
  <c r="O118" i="5"/>
  <c r="E147" i="5"/>
  <c r="G148" i="5"/>
  <c r="R119" i="5" l="1"/>
  <c r="S120" i="5" s="1"/>
  <c r="Q120" i="5" s="1"/>
  <c r="P120" i="5" s="1"/>
  <c r="O119" i="5"/>
  <c r="E148" i="5"/>
  <c r="G149" i="5"/>
  <c r="R120" i="5" l="1"/>
  <c r="S121" i="5" s="1"/>
  <c r="Q121" i="5" s="1"/>
  <c r="P121" i="5" s="1"/>
  <c r="O120" i="5"/>
  <c r="E149" i="5"/>
  <c r="G150" i="5"/>
  <c r="R121" i="5" l="1"/>
  <c r="S122" i="5" s="1"/>
  <c r="Q122" i="5" s="1"/>
  <c r="P122" i="5" s="1"/>
  <c r="O121" i="5"/>
  <c r="E150" i="5"/>
  <c r="G151" i="5"/>
  <c r="R122" i="5" l="1"/>
  <c r="S123" i="5" s="1"/>
  <c r="Q123" i="5" s="1"/>
  <c r="P123" i="5" s="1"/>
  <c r="O122" i="5"/>
  <c r="E151" i="5"/>
  <c r="G152" i="5"/>
  <c r="R123" i="5" l="1"/>
  <c r="S124" i="5" s="1"/>
  <c r="Q124" i="5" s="1"/>
  <c r="P124" i="5" s="1"/>
  <c r="O123" i="5"/>
  <c r="X123" i="5" s="1"/>
  <c r="E152" i="5"/>
  <c r="G153" i="5"/>
  <c r="R124" i="5" l="1"/>
  <c r="S125" i="5" s="1"/>
  <c r="Q125" i="5" s="1"/>
  <c r="P125" i="5" s="1"/>
  <c r="O124" i="5"/>
  <c r="E153" i="5"/>
  <c r="G154" i="5"/>
  <c r="R125" i="5" l="1"/>
  <c r="S126" i="5" s="1"/>
  <c r="O125" i="5"/>
  <c r="E154" i="5"/>
  <c r="G155" i="5"/>
  <c r="Q126" i="5" l="1"/>
  <c r="P126" i="5" s="1"/>
  <c r="E155" i="5"/>
  <c r="G156" i="5"/>
  <c r="R126" i="5" l="1"/>
  <c r="S127" i="5" s="1"/>
  <c r="Q127" i="5" s="1"/>
  <c r="P127" i="5" s="1"/>
  <c r="O126" i="5"/>
  <c r="E156" i="5"/>
  <c r="G157" i="5"/>
  <c r="R127" i="5" l="1"/>
  <c r="S128" i="5" s="1"/>
  <c r="Q128" i="5" s="1"/>
  <c r="P128" i="5" s="1"/>
  <c r="O127" i="5"/>
  <c r="E157" i="5"/>
  <c r="G158" i="5"/>
  <c r="R128" i="5" l="1"/>
  <c r="S129" i="5" s="1"/>
  <c r="Q129" i="5" s="1"/>
  <c r="P129" i="5" s="1"/>
  <c r="O128" i="5"/>
  <c r="E158" i="5"/>
  <c r="G159" i="5"/>
  <c r="R129" i="5" l="1"/>
  <c r="S130" i="5" s="1"/>
  <c r="Q130" i="5" s="1"/>
  <c r="P130" i="5" s="1"/>
  <c r="O129" i="5"/>
  <c r="E159" i="5"/>
  <c r="G160" i="5"/>
  <c r="R130" i="5" l="1"/>
  <c r="S131" i="5" s="1"/>
  <c r="Q131" i="5" s="1"/>
  <c r="P131" i="5" s="1"/>
  <c r="O130" i="5"/>
  <c r="E160" i="5"/>
  <c r="G161" i="5"/>
  <c r="R131" i="5" l="1"/>
  <c r="S132" i="5" s="1"/>
  <c r="Q132" i="5" s="1"/>
  <c r="P132" i="5" s="1"/>
  <c r="O131" i="5"/>
  <c r="E161" i="5"/>
  <c r="G162" i="5"/>
  <c r="R132" i="5" l="1"/>
  <c r="S133" i="5" s="1"/>
  <c r="Q133" i="5" s="1"/>
  <c r="P133" i="5" s="1"/>
  <c r="O132" i="5"/>
  <c r="E162" i="5"/>
  <c r="G163" i="5"/>
  <c r="R133" i="5" l="1"/>
  <c r="S134" i="5" s="1"/>
  <c r="Q134" i="5" s="1"/>
  <c r="P134" i="5" s="1"/>
  <c r="O133" i="5"/>
  <c r="E163" i="5"/>
  <c r="G164" i="5"/>
  <c r="R134" i="5" l="1"/>
  <c r="S135" i="5" s="1"/>
  <c r="Q135" i="5" s="1"/>
  <c r="P135" i="5" s="1"/>
  <c r="O134" i="5"/>
  <c r="E164" i="5"/>
  <c r="G165" i="5"/>
  <c r="R135" i="5" l="1"/>
  <c r="S136" i="5" s="1"/>
  <c r="O135" i="5"/>
  <c r="X135" i="5" s="1"/>
  <c r="E165" i="5"/>
  <c r="G166" i="5"/>
  <c r="Q136" i="5" l="1"/>
  <c r="P136" i="5" s="1"/>
  <c r="E166" i="5"/>
  <c r="G167" i="5"/>
  <c r="R136" i="5" l="1"/>
  <c r="S137" i="5" s="1"/>
  <c r="Q137" i="5" s="1"/>
  <c r="P137" i="5" s="1"/>
  <c r="O136" i="5"/>
  <c r="E167" i="5"/>
  <c r="G168" i="5"/>
  <c r="R137" i="5" l="1"/>
  <c r="S138" i="5" s="1"/>
  <c r="Q138" i="5" s="1"/>
  <c r="P138" i="5" s="1"/>
  <c r="O137" i="5"/>
  <c r="E168" i="5"/>
  <c r="G169" i="5"/>
  <c r="R138" i="5" l="1"/>
  <c r="S139" i="5" s="1"/>
  <c r="Q139" i="5" s="1"/>
  <c r="P139" i="5" s="1"/>
  <c r="O138" i="5"/>
  <c r="E169" i="5"/>
  <c r="G170" i="5"/>
  <c r="R139" i="5" l="1"/>
  <c r="S140" i="5" s="1"/>
  <c r="O139" i="5"/>
  <c r="E170" i="5"/>
  <c r="G171" i="5"/>
  <c r="Q140" i="5" l="1"/>
  <c r="P140" i="5" s="1"/>
  <c r="E171" i="5"/>
  <c r="G172" i="5"/>
  <c r="R140" i="5" l="1"/>
  <c r="S141" i="5" s="1"/>
  <c r="O140" i="5"/>
  <c r="E172" i="5"/>
  <c r="G173" i="5"/>
  <c r="Q141" i="5" l="1"/>
  <c r="P141" i="5" s="1"/>
  <c r="E173" i="5"/>
  <c r="G174" i="5"/>
  <c r="R141" i="5" l="1"/>
  <c r="S142" i="5" s="1"/>
  <c r="O141" i="5"/>
  <c r="E174" i="5"/>
  <c r="G175" i="5"/>
  <c r="Q142" i="5" l="1"/>
  <c r="P142" i="5" s="1"/>
  <c r="E175" i="5"/>
  <c r="G176" i="5"/>
  <c r="R142" i="5" l="1"/>
  <c r="S143" i="5" s="1"/>
  <c r="O142" i="5"/>
  <c r="E176" i="5"/>
  <c r="G177" i="5"/>
  <c r="Q143" i="5" l="1"/>
  <c r="P143" i="5" s="1"/>
  <c r="E177" i="5"/>
  <c r="G178" i="5"/>
  <c r="R143" i="5" l="1"/>
  <c r="S144" i="5" s="1"/>
  <c r="O143" i="5"/>
  <c r="E178" i="5"/>
  <c r="G179" i="5"/>
  <c r="Q144" i="5" l="1"/>
  <c r="P144" i="5" s="1"/>
  <c r="E179" i="5"/>
  <c r="G180" i="5"/>
  <c r="R144" i="5" l="1"/>
  <c r="S145" i="5" s="1"/>
  <c r="O144" i="5"/>
  <c r="E180" i="5"/>
  <c r="G181" i="5"/>
  <c r="Q145" i="5" l="1"/>
  <c r="P145" i="5" s="1"/>
  <c r="E181" i="5"/>
  <c r="G182" i="5"/>
  <c r="R145" i="5" l="1"/>
  <c r="S146" i="5" s="1"/>
  <c r="O145" i="5"/>
  <c r="E182" i="5"/>
  <c r="G183" i="5"/>
  <c r="Q146" i="5" l="1"/>
  <c r="P146" i="5" s="1"/>
  <c r="E183" i="5"/>
  <c r="G184" i="5"/>
  <c r="R146" i="5" l="1"/>
  <c r="S147" i="5" s="1"/>
  <c r="O146" i="5"/>
  <c r="E184" i="5"/>
  <c r="G185" i="5"/>
  <c r="Q147" i="5" l="1"/>
  <c r="P147" i="5" s="1"/>
  <c r="E185" i="5"/>
  <c r="G186" i="5"/>
  <c r="R147" i="5" l="1"/>
  <c r="S148" i="5" s="1"/>
  <c r="O147" i="5"/>
  <c r="X147" i="5" s="1"/>
  <c r="E186" i="5"/>
  <c r="G187" i="5"/>
  <c r="Q148" i="5" l="1"/>
  <c r="P148" i="5" s="1"/>
  <c r="E187" i="5"/>
  <c r="G188" i="5"/>
  <c r="R148" i="5" l="1"/>
  <c r="S149" i="5" s="1"/>
  <c r="Q149" i="5" s="1"/>
  <c r="P149" i="5" s="1"/>
  <c r="O148" i="5"/>
  <c r="E188" i="5"/>
  <c r="G189" i="5"/>
  <c r="R149" i="5" l="1"/>
  <c r="S150" i="5" s="1"/>
  <c r="O149" i="5"/>
  <c r="E189" i="5"/>
  <c r="G190" i="5"/>
  <c r="Q150" i="5" l="1"/>
  <c r="P150" i="5" s="1"/>
  <c r="E190" i="5"/>
  <c r="G191" i="5"/>
  <c r="R150" i="5" l="1"/>
  <c r="S151" i="5" s="1"/>
  <c r="Q151" i="5" s="1"/>
  <c r="P151" i="5" s="1"/>
  <c r="O150" i="5"/>
  <c r="E191" i="5"/>
  <c r="G192" i="5"/>
  <c r="R151" i="5" l="1"/>
  <c r="S152" i="5" s="1"/>
  <c r="O151" i="5"/>
  <c r="E192" i="5"/>
  <c r="G193" i="5"/>
  <c r="Q152" i="5" l="1"/>
  <c r="P152" i="5" s="1"/>
  <c r="E193" i="5"/>
  <c r="G194" i="5"/>
  <c r="R152" i="5" l="1"/>
  <c r="S153" i="5" s="1"/>
  <c r="O152" i="5"/>
  <c r="E194" i="5"/>
  <c r="G195" i="5"/>
  <c r="Q153" i="5" l="1"/>
  <c r="P153" i="5" s="1"/>
  <c r="E195" i="5"/>
  <c r="G196" i="5"/>
  <c r="R153" i="5" l="1"/>
  <c r="S154" i="5" s="1"/>
  <c r="O153" i="5"/>
  <c r="E196" i="5"/>
  <c r="G197" i="5"/>
  <c r="Q154" i="5" l="1"/>
  <c r="P154" i="5" s="1"/>
  <c r="E197" i="5"/>
  <c r="G198" i="5"/>
  <c r="R154" i="5" l="1"/>
  <c r="S155" i="5" s="1"/>
  <c r="Q155" i="5" s="1"/>
  <c r="P155" i="5" s="1"/>
  <c r="O154" i="5"/>
  <c r="E198" i="5"/>
  <c r="G199" i="5"/>
  <c r="R155" i="5" l="1"/>
  <c r="S156" i="5" s="1"/>
  <c r="O155" i="5"/>
  <c r="E199" i="5"/>
  <c r="G200" i="5"/>
  <c r="Q156" i="5" l="1"/>
  <c r="P156" i="5" s="1"/>
  <c r="E200" i="5"/>
  <c r="G201" i="5"/>
  <c r="R156" i="5" l="1"/>
  <c r="S157" i="5" s="1"/>
  <c r="O156" i="5"/>
  <c r="E201" i="5"/>
  <c r="G202" i="5"/>
  <c r="Q157" i="5" l="1"/>
  <c r="P157" i="5" s="1"/>
  <c r="E202" i="5"/>
  <c r="G203" i="5"/>
  <c r="R157" i="5" l="1"/>
  <c r="S158" i="5" s="1"/>
  <c r="O157" i="5"/>
  <c r="E203" i="5"/>
  <c r="G204" i="5"/>
  <c r="Q158" i="5" l="1"/>
  <c r="P158" i="5" s="1"/>
  <c r="E204" i="5"/>
  <c r="G205" i="5"/>
  <c r="R158" i="5" l="1"/>
  <c r="S159" i="5" s="1"/>
  <c r="O158" i="5"/>
  <c r="E205" i="5"/>
  <c r="G206" i="5"/>
  <c r="Q159" i="5" l="1"/>
  <c r="P159" i="5" s="1"/>
  <c r="E206" i="5"/>
  <c r="G207" i="5"/>
  <c r="R159" i="5" l="1"/>
  <c r="S160" i="5" s="1"/>
  <c r="Q160" i="5" s="1"/>
  <c r="P160" i="5" s="1"/>
  <c r="O159" i="5"/>
  <c r="X159" i="5" s="1"/>
  <c r="E207" i="5"/>
  <c r="G208" i="5"/>
  <c r="R160" i="5" l="1"/>
  <c r="S161" i="5" s="1"/>
  <c r="Q161" i="5" s="1"/>
  <c r="P161" i="5" s="1"/>
  <c r="O160" i="5"/>
  <c r="E208" i="5"/>
  <c r="G209" i="5"/>
  <c r="R161" i="5" l="1"/>
  <c r="S162" i="5" s="1"/>
  <c r="O161" i="5"/>
  <c r="E209" i="5"/>
  <c r="G210" i="5"/>
  <c r="Q162" i="5" l="1"/>
  <c r="P162" i="5" s="1"/>
  <c r="E210" i="5"/>
  <c r="G211" i="5"/>
  <c r="R162" i="5" l="1"/>
  <c r="S163" i="5" s="1"/>
  <c r="Q163" i="5" s="1"/>
  <c r="P163" i="5" s="1"/>
  <c r="O162" i="5"/>
  <c r="E211" i="5"/>
  <c r="G212" i="5"/>
  <c r="R163" i="5" l="1"/>
  <c r="S164" i="5" s="1"/>
  <c r="O163" i="5"/>
  <c r="E212" i="5"/>
  <c r="G213" i="5"/>
  <c r="Q164" i="5" l="1"/>
  <c r="P164" i="5" s="1"/>
  <c r="E213" i="5"/>
  <c r="G214" i="5"/>
  <c r="R164" i="5" l="1"/>
  <c r="S165" i="5" s="1"/>
  <c r="Q165" i="5" s="1"/>
  <c r="P165" i="5" s="1"/>
  <c r="O164" i="5"/>
  <c r="E214" i="5"/>
  <c r="G215" i="5"/>
  <c r="R165" i="5" l="1"/>
  <c r="S166" i="5" s="1"/>
  <c r="O165" i="5"/>
  <c r="E215" i="5"/>
  <c r="G216" i="5"/>
  <c r="Q166" i="5" l="1"/>
  <c r="P166" i="5" s="1"/>
  <c r="E216" i="5"/>
  <c r="G217" i="5"/>
  <c r="R166" i="5" l="1"/>
  <c r="S167" i="5" s="1"/>
  <c r="O166" i="5"/>
  <c r="E217" i="5"/>
  <c r="G218" i="5"/>
  <c r="Q167" i="5" l="1"/>
  <c r="P167" i="5" s="1"/>
  <c r="E218" i="5"/>
  <c r="G219" i="5"/>
  <c r="R167" i="5" l="1"/>
  <c r="S168" i="5" s="1"/>
  <c r="O167" i="5"/>
  <c r="E219" i="5"/>
  <c r="G220" i="5"/>
  <c r="Q168" i="5" l="1"/>
  <c r="P168" i="5" s="1"/>
  <c r="E220" i="5"/>
  <c r="G221" i="5"/>
  <c r="R168" i="5" l="1"/>
  <c r="S169" i="5" s="1"/>
  <c r="O168" i="5"/>
  <c r="E221" i="5"/>
  <c r="G222" i="5"/>
  <c r="Q169" i="5" l="1"/>
  <c r="P169" i="5" s="1"/>
  <c r="E222" i="5"/>
  <c r="G223" i="5"/>
  <c r="R169" i="5" l="1"/>
  <c r="S170" i="5" s="1"/>
  <c r="Q170" i="5" s="1"/>
  <c r="P170" i="5" s="1"/>
  <c r="O169" i="5"/>
  <c r="E223" i="5"/>
  <c r="G224" i="5"/>
  <c r="R170" i="5" l="1"/>
  <c r="S171" i="5" s="1"/>
  <c r="Q171" i="5" s="1"/>
  <c r="P171" i="5" s="1"/>
  <c r="O170" i="5"/>
  <c r="E224" i="5"/>
  <c r="G225" i="5"/>
  <c r="R171" i="5" l="1"/>
  <c r="S172" i="5" s="1"/>
  <c r="Q172" i="5" s="1"/>
  <c r="P172" i="5" s="1"/>
  <c r="O171" i="5"/>
  <c r="X171" i="5" s="1"/>
  <c r="E225" i="5"/>
  <c r="G226" i="5"/>
  <c r="R172" i="5" l="1"/>
  <c r="S173" i="5" s="1"/>
  <c r="O172" i="5"/>
  <c r="E226" i="5"/>
  <c r="G227" i="5"/>
  <c r="Q173" i="5" l="1"/>
  <c r="P173" i="5" s="1"/>
  <c r="E227" i="5"/>
  <c r="G228" i="5"/>
  <c r="R173" i="5" l="1"/>
  <c r="S174" i="5" s="1"/>
  <c r="O173" i="5"/>
  <c r="E228" i="5"/>
  <c r="G229" i="5"/>
  <c r="Q174" i="5" l="1"/>
  <c r="P174" i="5" s="1"/>
  <c r="E229" i="5"/>
  <c r="G230" i="5"/>
  <c r="R174" i="5" l="1"/>
  <c r="S175" i="5" s="1"/>
  <c r="Q175" i="5" s="1"/>
  <c r="P175" i="5" s="1"/>
  <c r="O174" i="5"/>
  <c r="E230" i="5"/>
  <c r="G231" i="5"/>
  <c r="R175" i="5" l="1"/>
  <c r="S176" i="5" s="1"/>
  <c r="O175" i="5"/>
  <c r="E231" i="5"/>
  <c r="G232" i="5"/>
  <c r="Q176" i="5" l="1"/>
  <c r="P176" i="5" s="1"/>
  <c r="E232" i="5"/>
  <c r="G233" i="5"/>
  <c r="R176" i="5" l="1"/>
  <c r="S177" i="5" s="1"/>
  <c r="O176" i="5"/>
  <c r="E233" i="5"/>
  <c r="G234" i="5"/>
  <c r="Q177" i="5" l="1"/>
  <c r="P177" i="5" s="1"/>
  <c r="E234" i="5"/>
  <c r="G235" i="5"/>
  <c r="R177" i="5" l="1"/>
  <c r="S178" i="5" s="1"/>
  <c r="O177" i="5"/>
  <c r="E235" i="5"/>
  <c r="G236" i="5"/>
  <c r="Q178" i="5" l="1"/>
  <c r="P178" i="5" s="1"/>
  <c r="E236" i="5"/>
  <c r="G237" i="5"/>
  <c r="R178" i="5" l="1"/>
  <c r="S179" i="5" s="1"/>
  <c r="Q179" i="5" s="1"/>
  <c r="P179" i="5" s="1"/>
  <c r="O178" i="5"/>
  <c r="E237" i="5"/>
  <c r="G238" i="5"/>
  <c r="R179" i="5" l="1"/>
  <c r="S180" i="5" s="1"/>
  <c r="O179" i="5"/>
  <c r="E238" i="5"/>
  <c r="G239" i="5"/>
  <c r="Q180" i="5" l="1"/>
  <c r="P180" i="5" s="1"/>
  <c r="E239" i="5"/>
  <c r="G240" i="5"/>
  <c r="R180" i="5" l="1"/>
  <c r="S181" i="5" s="1"/>
  <c r="O180" i="5"/>
  <c r="E240" i="5"/>
  <c r="G241" i="5"/>
  <c r="Q181" i="5" l="1"/>
  <c r="P181" i="5" s="1"/>
  <c r="E241" i="5"/>
  <c r="G242" i="5"/>
  <c r="R181" i="5" l="1"/>
  <c r="S182" i="5" s="1"/>
  <c r="O181" i="5"/>
  <c r="E242" i="5"/>
  <c r="G243" i="5"/>
  <c r="G244" i="5" s="1"/>
  <c r="Q182" i="5" l="1"/>
  <c r="P182" i="5" s="1"/>
  <c r="E243" i="5"/>
  <c r="R182" i="5" l="1"/>
  <c r="S183" i="5" s="1"/>
  <c r="O182" i="5"/>
  <c r="E244" i="5"/>
  <c r="G245" i="5"/>
  <c r="Q183" i="5" l="1"/>
  <c r="P183" i="5" s="1"/>
  <c r="E245" i="5"/>
  <c r="G246" i="5"/>
  <c r="R183" i="5" l="1"/>
  <c r="S184" i="5" s="1"/>
  <c r="O183" i="5"/>
  <c r="X183" i="5" s="1"/>
  <c r="E246" i="5"/>
  <c r="G247" i="5"/>
  <c r="Q184" i="5" l="1"/>
  <c r="P184" i="5" s="1"/>
  <c r="E247" i="5"/>
  <c r="G248" i="5"/>
  <c r="R184" i="5" l="1"/>
  <c r="S185" i="5" s="1"/>
  <c r="Q185" i="5" s="1"/>
  <c r="P185" i="5" s="1"/>
  <c r="O184" i="5"/>
  <c r="E248" i="5"/>
  <c r="G249" i="5"/>
  <c r="R185" i="5" l="1"/>
  <c r="S186" i="5" s="1"/>
  <c r="O185" i="5"/>
  <c r="E249" i="5"/>
  <c r="G250" i="5"/>
  <c r="Q186" i="5" l="1"/>
  <c r="P186" i="5" s="1"/>
  <c r="E250" i="5"/>
  <c r="G251" i="5"/>
  <c r="R186" i="5" l="1"/>
  <c r="S187" i="5" s="1"/>
  <c r="Q187" i="5" s="1"/>
  <c r="P187" i="5" s="1"/>
  <c r="O186" i="5"/>
  <c r="E251" i="5"/>
  <c r="G252" i="5"/>
  <c r="R187" i="5" l="1"/>
  <c r="S188" i="5" s="1"/>
  <c r="O187" i="5"/>
  <c r="E252" i="5"/>
  <c r="G253" i="5"/>
  <c r="Q188" i="5" l="1"/>
  <c r="P188" i="5" s="1"/>
  <c r="E253" i="5"/>
  <c r="G254" i="5"/>
  <c r="R188" i="5" l="1"/>
  <c r="S189" i="5" s="1"/>
  <c r="O188" i="5"/>
  <c r="E254" i="5"/>
  <c r="G255" i="5"/>
  <c r="Q189" i="5" l="1"/>
  <c r="P189" i="5" s="1"/>
  <c r="E255" i="5"/>
  <c r="G256" i="5"/>
  <c r="R189" i="5" l="1"/>
  <c r="S190" i="5" s="1"/>
  <c r="Q190" i="5" s="1"/>
  <c r="P190" i="5" s="1"/>
  <c r="O189" i="5"/>
  <c r="E256" i="5"/>
  <c r="G257" i="5"/>
  <c r="R190" i="5" l="1"/>
  <c r="S191" i="5" s="1"/>
  <c r="Q191" i="5" s="1"/>
  <c r="P191" i="5" s="1"/>
  <c r="O190" i="5"/>
  <c r="E257" i="5"/>
  <c r="G258" i="5"/>
  <c r="R191" i="5" l="1"/>
  <c r="S192" i="5" s="1"/>
  <c r="Q192" i="5" s="1"/>
  <c r="P192" i="5" s="1"/>
  <c r="O191" i="5"/>
  <c r="E258" i="5"/>
  <c r="G259" i="5"/>
  <c r="R192" i="5" l="1"/>
  <c r="S193" i="5" s="1"/>
  <c r="Q193" i="5" s="1"/>
  <c r="P193" i="5" s="1"/>
  <c r="O192" i="5"/>
  <c r="E259" i="5"/>
  <c r="G260" i="5"/>
  <c r="R193" i="5" l="1"/>
  <c r="S194" i="5" s="1"/>
  <c r="Q194" i="5" s="1"/>
  <c r="P194" i="5" s="1"/>
  <c r="O193" i="5"/>
  <c r="E260" i="5"/>
  <c r="G261" i="5"/>
  <c r="R194" i="5" l="1"/>
  <c r="S195" i="5" s="1"/>
  <c r="Q195" i="5" s="1"/>
  <c r="P195" i="5" s="1"/>
  <c r="O194" i="5"/>
  <c r="E261" i="5"/>
  <c r="G262" i="5"/>
  <c r="R195" i="5" l="1"/>
  <c r="S196" i="5" s="1"/>
  <c r="Q196" i="5" s="1"/>
  <c r="P196" i="5" s="1"/>
  <c r="O195" i="5"/>
  <c r="X195" i="5" s="1"/>
  <c r="E262" i="5"/>
  <c r="G263" i="5"/>
  <c r="R196" i="5" l="1"/>
  <c r="S197" i="5" s="1"/>
  <c r="Q197" i="5" s="1"/>
  <c r="P197" i="5" s="1"/>
  <c r="O196" i="5"/>
  <c r="E263" i="5"/>
  <c r="G264" i="5"/>
  <c r="R197" i="5" l="1"/>
  <c r="S198" i="5" s="1"/>
  <c r="Q198" i="5" s="1"/>
  <c r="P198" i="5" s="1"/>
  <c r="O197" i="5"/>
  <c r="E264" i="5"/>
  <c r="G265" i="5"/>
  <c r="R198" i="5" l="1"/>
  <c r="S199" i="5" s="1"/>
  <c r="Q199" i="5" s="1"/>
  <c r="P199" i="5" s="1"/>
  <c r="O198" i="5"/>
  <c r="E265" i="5"/>
  <c r="G266" i="5"/>
  <c r="R199" i="5" l="1"/>
  <c r="S200" i="5" s="1"/>
  <c r="Q200" i="5" s="1"/>
  <c r="P200" i="5" s="1"/>
  <c r="O199" i="5"/>
  <c r="E266" i="5"/>
  <c r="G267" i="5"/>
  <c r="R200" i="5" l="1"/>
  <c r="S201" i="5" s="1"/>
  <c r="Q201" i="5" s="1"/>
  <c r="P201" i="5" s="1"/>
  <c r="O200" i="5"/>
  <c r="E267" i="5"/>
  <c r="G268" i="5"/>
  <c r="R201" i="5" l="1"/>
  <c r="S202" i="5" s="1"/>
  <c r="Q202" i="5" s="1"/>
  <c r="P202" i="5" s="1"/>
  <c r="O201" i="5"/>
  <c r="E268" i="5"/>
  <c r="G269" i="5"/>
  <c r="R202" i="5" l="1"/>
  <c r="S203" i="5" s="1"/>
  <c r="O202" i="5"/>
  <c r="E269" i="5"/>
  <c r="G270" i="5"/>
  <c r="Q203" i="5" l="1"/>
  <c r="P203" i="5" s="1"/>
  <c r="E270" i="5"/>
  <c r="G271" i="5"/>
  <c r="R203" i="5" l="1"/>
  <c r="S204" i="5" s="1"/>
  <c r="O203" i="5"/>
  <c r="E271" i="5"/>
  <c r="G272" i="5"/>
  <c r="Q204" i="5" l="1"/>
  <c r="P204" i="5" s="1"/>
  <c r="E272" i="5"/>
  <c r="G273" i="5"/>
  <c r="R204" i="5" l="1"/>
  <c r="S205" i="5" s="1"/>
  <c r="O204" i="5"/>
  <c r="E273" i="5"/>
  <c r="G274" i="5"/>
  <c r="Q205" i="5" l="1"/>
  <c r="P205" i="5" s="1"/>
  <c r="E274" i="5"/>
  <c r="G275" i="5"/>
  <c r="R205" i="5" l="1"/>
  <c r="S206" i="5" s="1"/>
  <c r="Q206" i="5" s="1"/>
  <c r="P206" i="5" s="1"/>
  <c r="O205" i="5"/>
  <c r="E275" i="5"/>
  <c r="G276" i="5"/>
  <c r="R206" i="5" l="1"/>
  <c r="S207" i="5" s="1"/>
  <c r="O206" i="5"/>
  <c r="E276" i="5"/>
  <c r="G277" i="5"/>
  <c r="Q207" i="5" l="1"/>
  <c r="P207" i="5" s="1"/>
  <c r="E277" i="5"/>
  <c r="G278" i="5"/>
  <c r="R207" i="5" l="1"/>
  <c r="S208" i="5" s="1"/>
  <c r="Q208" i="5" s="1"/>
  <c r="P208" i="5" s="1"/>
  <c r="O207" i="5"/>
  <c r="X207" i="5" s="1"/>
  <c r="E278" i="5"/>
  <c r="G279" i="5"/>
  <c r="R208" i="5" l="1"/>
  <c r="S209" i="5" s="1"/>
  <c r="Q209" i="5" s="1"/>
  <c r="P209" i="5" s="1"/>
  <c r="O208" i="5"/>
  <c r="E279" i="5"/>
  <c r="G280" i="5"/>
  <c r="R209" i="5" l="1"/>
  <c r="S210" i="5" s="1"/>
  <c r="Q210" i="5" s="1"/>
  <c r="P210" i="5" s="1"/>
  <c r="O209" i="5"/>
  <c r="E280" i="5"/>
  <c r="G281" i="5"/>
  <c r="R210" i="5" l="1"/>
  <c r="S211" i="5" s="1"/>
  <c r="Q211" i="5" s="1"/>
  <c r="P211" i="5" s="1"/>
  <c r="O210" i="5"/>
  <c r="E281" i="5"/>
  <c r="G282" i="5"/>
  <c r="R211" i="5" l="1"/>
  <c r="S212" i="5" s="1"/>
  <c r="Q212" i="5" s="1"/>
  <c r="P212" i="5" s="1"/>
  <c r="O211" i="5"/>
  <c r="E282" i="5"/>
  <c r="G283" i="5"/>
  <c r="R212" i="5" l="1"/>
  <c r="S213" i="5" s="1"/>
  <c r="Q213" i="5" s="1"/>
  <c r="P213" i="5" s="1"/>
  <c r="O212" i="5"/>
  <c r="E283" i="5"/>
  <c r="G284" i="5"/>
  <c r="R213" i="5" l="1"/>
  <c r="S214" i="5" s="1"/>
  <c r="Q214" i="5" s="1"/>
  <c r="P214" i="5" s="1"/>
  <c r="O213" i="5"/>
  <c r="E284" i="5"/>
  <c r="G285" i="5"/>
  <c r="R214" i="5" l="1"/>
  <c r="S215" i="5" s="1"/>
  <c r="Q215" i="5" s="1"/>
  <c r="P215" i="5" s="1"/>
  <c r="O214" i="5"/>
  <c r="E285" i="5"/>
  <c r="G286" i="5"/>
  <c r="R215" i="5" l="1"/>
  <c r="S216" i="5" s="1"/>
  <c r="Q216" i="5" s="1"/>
  <c r="P216" i="5" s="1"/>
  <c r="O215" i="5"/>
  <c r="E286" i="5"/>
  <c r="G287" i="5"/>
  <c r="R216" i="5" l="1"/>
  <c r="S217" i="5" s="1"/>
  <c r="Q217" i="5" s="1"/>
  <c r="P217" i="5" s="1"/>
  <c r="O216" i="5"/>
  <c r="E287" i="5"/>
  <c r="G288" i="5"/>
  <c r="R217" i="5" l="1"/>
  <c r="S218" i="5" s="1"/>
  <c r="Q218" i="5" s="1"/>
  <c r="P218" i="5" s="1"/>
  <c r="O217" i="5"/>
  <c r="E288" i="5"/>
  <c r="G289" i="5"/>
  <c r="R218" i="5" l="1"/>
  <c r="S219" i="5" s="1"/>
  <c r="Q219" i="5" s="1"/>
  <c r="P219" i="5" s="1"/>
  <c r="O218" i="5"/>
  <c r="E289" i="5"/>
  <c r="G290" i="5"/>
  <c r="R219" i="5" l="1"/>
  <c r="S220" i="5" s="1"/>
  <c r="Q220" i="5" s="1"/>
  <c r="P220" i="5" s="1"/>
  <c r="O219" i="5"/>
  <c r="X219" i="5" s="1"/>
  <c r="E290" i="5"/>
  <c r="G291" i="5"/>
  <c r="R220" i="5" l="1"/>
  <c r="S221" i="5" s="1"/>
  <c r="Q221" i="5" s="1"/>
  <c r="P221" i="5" s="1"/>
  <c r="O220" i="5"/>
  <c r="E291" i="5"/>
  <c r="G292" i="5"/>
  <c r="R221" i="5" l="1"/>
  <c r="S222" i="5" s="1"/>
  <c r="Q222" i="5" s="1"/>
  <c r="P222" i="5" s="1"/>
  <c r="O221" i="5"/>
  <c r="E292" i="5"/>
  <c r="G293" i="5"/>
  <c r="R222" i="5" l="1"/>
  <c r="S223" i="5" s="1"/>
  <c r="Q223" i="5" s="1"/>
  <c r="P223" i="5" s="1"/>
  <c r="O222" i="5"/>
  <c r="E293" i="5"/>
  <c r="G294" i="5"/>
  <c r="R223" i="5" l="1"/>
  <c r="S224" i="5" s="1"/>
  <c r="Q224" i="5" s="1"/>
  <c r="P224" i="5" s="1"/>
  <c r="O223" i="5"/>
  <c r="E294" i="5"/>
  <c r="G295" i="5"/>
  <c r="R224" i="5" l="1"/>
  <c r="S225" i="5" s="1"/>
  <c r="Q225" i="5" s="1"/>
  <c r="P225" i="5" s="1"/>
  <c r="O224" i="5"/>
  <c r="E295" i="5"/>
  <c r="G296" i="5"/>
  <c r="R225" i="5" l="1"/>
  <c r="S226" i="5" s="1"/>
  <c r="O225" i="5"/>
  <c r="E296" i="5"/>
  <c r="G297" i="5"/>
  <c r="Q226" i="5" l="1"/>
  <c r="P226" i="5" s="1"/>
  <c r="E297" i="5"/>
  <c r="G298" i="5"/>
  <c r="R226" i="5" l="1"/>
  <c r="S227" i="5" s="1"/>
  <c r="O226" i="5"/>
  <c r="E298" i="5"/>
  <c r="G299" i="5"/>
  <c r="Q227" i="5" l="1"/>
  <c r="P227" i="5" s="1"/>
  <c r="E299" i="5"/>
  <c r="G300" i="5"/>
  <c r="R227" i="5" l="1"/>
  <c r="S228" i="5" s="1"/>
  <c r="Q228" i="5" s="1"/>
  <c r="P228" i="5" s="1"/>
  <c r="O227" i="5"/>
  <c r="E300" i="5"/>
  <c r="G301" i="5"/>
  <c r="R228" i="5" l="1"/>
  <c r="S229" i="5" s="1"/>
  <c r="Q229" i="5" s="1"/>
  <c r="P229" i="5" s="1"/>
  <c r="O228" i="5"/>
  <c r="E301" i="5"/>
  <c r="G302" i="5"/>
  <c r="R229" i="5" l="1"/>
  <c r="S230" i="5" s="1"/>
  <c r="Q230" i="5" s="1"/>
  <c r="P230" i="5" s="1"/>
  <c r="O229" i="5"/>
  <c r="E302" i="5"/>
  <c r="G303" i="5"/>
  <c r="R230" i="5" l="1"/>
  <c r="S231" i="5" s="1"/>
  <c r="Q231" i="5" s="1"/>
  <c r="P231" i="5" s="1"/>
  <c r="O230" i="5"/>
  <c r="E303" i="5"/>
  <c r="G304" i="5"/>
  <c r="R231" i="5" l="1"/>
  <c r="S232" i="5" s="1"/>
  <c r="O231" i="5"/>
  <c r="X231" i="5" s="1"/>
  <c r="E304" i="5"/>
  <c r="G305" i="5"/>
  <c r="Q232" i="5" l="1"/>
  <c r="P232" i="5" s="1"/>
  <c r="E305" i="5"/>
  <c r="G306" i="5"/>
  <c r="R232" i="5" l="1"/>
  <c r="S233" i="5" s="1"/>
  <c r="O232" i="5"/>
  <c r="E306" i="5"/>
  <c r="G307" i="5"/>
  <c r="Q233" i="5" l="1"/>
  <c r="P233" i="5" s="1"/>
  <c r="E307" i="5"/>
  <c r="G308" i="5"/>
  <c r="R233" i="5" l="1"/>
  <c r="S234" i="5" s="1"/>
  <c r="O233" i="5"/>
  <c r="E308" i="5"/>
  <c r="G309" i="5"/>
  <c r="Q234" i="5" l="1"/>
  <c r="P234" i="5" s="1"/>
  <c r="E309" i="5"/>
  <c r="G310" i="5"/>
  <c r="R234" i="5" l="1"/>
  <c r="S235" i="5" s="1"/>
  <c r="O234" i="5"/>
  <c r="E310" i="5"/>
  <c r="G311" i="5"/>
  <c r="Q235" i="5" l="1"/>
  <c r="P235" i="5" s="1"/>
  <c r="E311" i="5"/>
  <c r="G312" i="5"/>
  <c r="R235" i="5" l="1"/>
  <c r="S236" i="5" s="1"/>
  <c r="O235" i="5"/>
  <c r="E312" i="5"/>
  <c r="G313" i="5"/>
  <c r="Q236" i="5" l="1"/>
  <c r="P236" i="5" s="1"/>
  <c r="E313" i="5"/>
  <c r="G314" i="5"/>
  <c r="R236" i="5" l="1"/>
  <c r="S237" i="5" s="1"/>
  <c r="O236" i="5"/>
  <c r="E314" i="5"/>
  <c r="G315" i="5"/>
  <c r="Q237" i="5" l="1"/>
  <c r="P237" i="5" s="1"/>
  <c r="E315" i="5"/>
  <c r="G316" i="5"/>
  <c r="R237" i="5" l="1"/>
  <c r="S238" i="5" s="1"/>
  <c r="O237" i="5"/>
  <c r="E316" i="5"/>
  <c r="G317" i="5"/>
  <c r="Q238" i="5" l="1"/>
  <c r="P238" i="5" s="1"/>
  <c r="E317" i="5"/>
  <c r="G318" i="5"/>
  <c r="R238" i="5" l="1"/>
  <c r="S239" i="5" s="1"/>
  <c r="O238" i="5"/>
  <c r="E318" i="5"/>
  <c r="G319" i="5"/>
  <c r="Q239" i="5" l="1"/>
  <c r="P239" i="5" s="1"/>
  <c r="E319" i="5"/>
  <c r="G320" i="5"/>
  <c r="R239" i="5" l="1"/>
  <c r="S240" i="5" s="1"/>
  <c r="O239" i="5"/>
  <c r="E320" i="5"/>
  <c r="G321" i="5"/>
  <c r="Q240" i="5" l="1"/>
  <c r="P240" i="5" s="1"/>
  <c r="E321" i="5"/>
  <c r="G322" i="5"/>
  <c r="R240" i="5" l="1"/>
  <c r="S241" i="5" s="1"/>
  <c r="O240" i="5"/>
  <c r="E322" i="5"/>
  <c r="G323" i="5"/>
  <c r="Q241" i="5" l="1"/>
  <c r="P241" i="5" s="1"/>
  <c r="E323" i="5"/>
  <c r="G324" i="5"/>
  <c r="R241" i="5" l="1"/>
  <c r="S242" i="5" s="1"/>
  <c r="O241" i="5"/>
  <c r="E324" i="5"/>
  <c r="G325" i="5"/>
  <c r="Q242" i="5" l="1"/>
  <c r="P242" i="5" s="1"/>
  <c r="E325" i="5"/>
  <c r="G326" i="5"/>
  <c r="R242" i="5" l="1"/>
  <c r="S243" i="5" s="1"/>
  <c r="O242" i="5"/>
  <c r="E326" i="5"/>
  <c r="G327" i="5"/>
  <c r="Q243" i="5" l="1"/>
  <c r="P243" i="5" s="1"/>
  <c r="E327" i="5"/>
  <c r="G328" i="5"/>
  <c r="R243" i="5" l="1"/>
  <c r="S244" i="5" s="1"/>
  <c r="O243" i="5"/>
  <c r="X243" i="5" s="1"/>
  <c r="E328" i="5"/>
  <c r="G329" i="5"/>
  <c r="Q244" i="5" l="1"/>
  <c r="P244" i="5"/>
  <c r="E329" i="5"/>
  <c r="G330" i="5"/>
  <c r="R244" i="5" l="1"/>
  <c r="S245" i="5" s="1"/>
  <c r="O244" i="5"/>
  <c r="E330" i="5"/>
  <c r="G331" i="5"/>
  <c r="Q245" i="5" l="1"/>
  <c r="P245" i="5"/>
  <c r="E331" i="5"/>
  <c r="G332" i="5"/>
  <c r="R245" i="5" l="1"/>
  <c r="S246" i="5" s="1"/>
  <c r="O245" i="5"/>
  <c r="E332" i="5"/>
  <c r="G333" i="5"/>
  <c r="Q246" i="5" l="1"/>
  <c r="P246" i="5"/>
  <c r="E333" i="5"/>
  <c r="G334" i="5"/>
  <c r="R246" i="5" l="1"/>
  <c r="S247" i="5" s="1"/>
  <c r="O246" i="5"/>
  <c r="E334" i="5"/>
  <c r="G335" i="5"/>
  <c r="Q247" i="5" l="1"/>
  <c r="P247" i="5"/>
  <c r="E335" i="5"/>
  <c r="G336" i="5"/>
  <c r="R247" i="5" l="1"/>
  <c r="S248" i="5" s="1"/>
  <c r="O247" i="5"/>
  <c r="E336" i="5"/>
  <c r="G337" i="5"/>
  <c r="Q248" i="5" l="1"/>
  <c r="P248" i="5"/>
  <c r="E337" i="5"/>
  <c r="G338" i="5"/>
  <c r="R248" i="5" l="1"/>
  <c r="S249" i="5" s="1"/>
  <c r="O248" i="5"/>
  <c r="E338" i="5"/>
  <c r="G339" i="5"/>
  <c r="Q249" i="5" l="1"/>
  <c r="P249" i="5"/>
  <c r="E339" i="5"/>
  <c r="G340" i="5"/>
  <c r="R249" i="5" l="1"/>
  <c r="S250" i="5" s="1"/>
  <c r="O249" i="5"/>
  <c r="E340" i="5"/>
  <c r="G341" i="5"/>
  <c r="Q250" i="5" l="1"/>
  <c r="P250" i="5"/>
  <c r="E341" i="5"/>
  <c r="G342" i="5"/>
  <c r="R250" i="5" l="1"/>
  <c r="S251" i="5" s="1"/>
  <c r="O250" i="5"/>
  <c r="E342" i="5"/>
  <c r="G343" i="5"/>
  <c r="Q251" i="5" l="1"/>
  <c r="P251" i="5"/>
  <c r="E343" i="5"/>
  <c r="G344" i="5"/>
  <c r="R251" i="5" l="1"/>
  <c r="S252" i="5" s="1"/>
  <c r="O251" i="5"/>
  <c r="E344" i="5"/>
  <c r="G345" i="5"/>
  <c r="Q252" i="5" l="1"/>
  <c r="P252" i="5"/>
  <c r="E345" i="5"/>
  <c r="G346" i="5"/>
  <c r="R252" i="5" l="1"/>
  <c r="S253" i="5" s="1"/>
  <c r="O252" i="5"/>
  <c r="E346" i="5"/>
  <c r="G347" i="5"/>
  <c r="Q253" i="5" l="1"/>
  <c r="P253" i="5"/>
  <c r="E347" i="5"/>
  <c r="G348" i="5"/>
  <c r="R253" i="5" l="1"/>
  <c r="S254" i="5" s="1"/>
  <c r="O253" i="5"/>
  <c r="E348" i="5"/>
  <c r="G349" i="5"/>
  <c r="Q254" i="5" l="1"/>
  <c r="P254" i="5"/>
  <c r="E349" i="5"/>
  <c r="G350" i="5"/>
  <c r="R254" i="5" l="1"/>
  <c r="S255" i="5" s="1"/>
  <c r="O254" i="5"/>
  <c r="E350" i="5"/>
  <c r="G351" i="5"/>
  <c r="Q255" i="5" l="1"/>
  <c r="P255" i="5"/>
  <c r="E351" i="5"/>
  <c r="G352" i="5"/>
  <c r="R255" i="5" l="1"/>
  <c r="S256" i="5" s="1"/>
  <c r="O255" i="5"/>
  <c r="E352" i="5"/>
  <c r="G353" i="5"/>
  <c r="Q256" i="5" l="1"/>
  <c r="P256" i="5"/>
  <c r="E353" i="5"/>
  <c r="G354" i="5"/>
  <c r="R256" i="5" l="1"/>
  <c r="S257" i="5" s="1"/>
  <c r="O256" i="5"/>
  <c r="E354" i="5"/>
  <c r="G355" i="5"/>
  <c r="Q257" i="5" l="1"/>
  <c r="P257" i="5"/>
  <c r="E355" i="5"/>
  <c r="G356" i="5"/>
  <c r="R257" i="5" l="1"/>
  <c r="S258" i="5" s="1"/>
  <c r="O257" i="5"/>
  <c r="E356" i="5"/>
  <c r="G357" i="5"/>
  <c r="Q258" i="5" l="1"/>
  <c r="P258" i="5"/>
  <c r="E357" i="5"/>
  <c r="G358" i="5"/>
  <c r="R258" i="5" l="1"/>
  <c r="S259" i="5" s="1"/>
  <c r="O258" i="5"/>
  <c r="E358" i="5"/>
  <c r="G359" i="5"/>
  <c r="Q259" i="5" l="1"/>
  <c r="P259" i="5"/>
  <c r="E359" i="5"/>
  <c r="G360" i="5"/>
  <c r="R259" i="5" l="1"/>
  <c r="S260" i="5" s="1"/>
  <c r="O259" i="5"/>
  <c r="E360" i="5"/>
  <c r="G361" i="5"/>
  <c r="Q260" i="5" l="1"/>
  <c r="P260" i="5"/>
  <c r="E361" i="5"/>
  <c r="G362" i="5"/>
  <c r="R260" i="5" l="1"/>
  <c r="S261" i="5" s="1"/>
  <c r="O260" i="5"/>
  <c r="E362" i="5"/>
  <c r="G363" i="5"/>
  <c r="Q261" i="5" l="1"/>
  <c r="P261" i="5"/>
  <c r="E363" i="5"/>
  <c r="G364" i="5"/>
  <c r="R261" i="5" l="1"/>
  <c r="S262" i="5" s="1"/>
  <c r="O261" i="5"/>
  <c r="E364" i="5"/>
  <c r="G365" i="5"/>
  <c r="Q262" i="5" l="1"/>
  <c r="P262" i="5"/>
  <c r="E365" i="5"/>
  <c r="G366" i="5"/>
  <c r="R262" i="5" l="1"/>
  <c r="S263" i="5" s="1"/>
  <c r="O262" i="5"/>
  <c r="E366" i="5"/>
  <c r="G367" i="5"/>
  <c r="Q263" i="5" l="1"/>
  <c r="P263" i="5"/>
  <c r="E367" i="5"/>
  <c r="G368" i="5"/>
  <c r="R263" i="5" l="1"/>
  <c r="S264" i="5" s="1"/>
  <c r="O263" i="5"/>
  <c r="E368" i="5"/>
  <c r="G369" i="5"/>
  <c r="Q264" i="5" l="1"/>
  <c r="P264" i="5"/>
  <c r="E369" i="5"/>
  <c r="G370" i="5"/>
  <c r="R264" i="5" l="1"/>
  <c r="S265" i="5" s="1"/>
  <c r="O264" i="5"/>
  <c r="E370" i="5"/>
  <c r="G371" i="5"/>
  <c r="Q265" i="5" l="1"/>
  <c r="P265" i="5"/>
  <c r="E371" i="5"/>
  <c r="G372" i="5"/>
  <c r="R265" i="5" l="1"/>
  <c r="S266" i="5" s="1"/>
  <c r="O265" i="5"/>
  <c r="E372" i="5"/>
  <c r="G373" i="5"/>
  <c r="Q266" i="5" l="1"/>
  <c r="P266" i="5"/>
  <c r="E373" i="5"/>
  <c r="G374" i="5"/>
  <c r="R266" i="5" l="1"/>
  <c r="S267" i="5" s="1"/>
  <c r="O266" i="5"/>
  <c r="E374" i="5"/>
  <c r="G375" i="5"/>
  <c r="Q267" i="5" l="1"/>
  <c r="P267" i="5"/>
  <c r="E375" i="5"/>
  <c r="G376" i="5"/>
  <c r="R267" i="5" l="1"/>
  <c r="S268" i="5" s="1"/>
  <c r="O267" i="5"/>
  <c r="E376" i="5"/>
  <c r="G377" i="5"/>
  <c r="Q268" i="5" l="1"/>
  <c r="P268" i="5"/>
  <c r="E377" i="5"/>
  <c r="G378" i="5"/>
  <c r="R268" i="5" l="1"/>
  <c r="S269" i="5" s="1"/>
  <c r="O268" i="5"/>
  <c r="E378" i="5"/>
  <c r="G379" i="5"/>
  <c r="Q269" i="5" l="1"/>
  <c r="P269" i="5"/>
  <c r="E379" i="5"/>
  <c r="G380" i="5"/>
  <c r="R269" i="5" l="1"/>
  <c r="S270" i="5" s="1"/>
  <c r="O269" i="5"/>
  <c r="E380" i="5"/>
  <c r="G381" i="5"/>
  <c r="Q270" i="5" l="1"/>
  <c r="P270" i="5"/>
  <c r="E381" i="5"/>
  <c r="G382" i="5"/>
  <c r="R270" i="5" l="1"/>
  <c r="S271" i="5" s="1"/>
  <c r="O270" i="5"/>
  <c r="E382" i="5"/>
  <c r="G383" i="5"/>
  <c r="Q271" i="5" l="1"/>
  <c r="P271" i="5"/>
  <c r="E383" i="5"/>
  <c r="G384" i="5"/>
  <c r="R271" i="5" l="1"/>
  <c r="S272" i="5" s="1"/>
  <c r="O271" i="5"/>
  <c r="E384" i="5"/>
  <c r="G385" i="5"/>
  <c r="Q272" i="5" l="1"/>
  <c r="P272" i="5"/>
  <c r="E385" i="5"/>
  <c r="G386" i="5"/>
  <c r="R272" i="5" l="1"/>
  <c r="S273" i="5" s="1"/>
  <c r="O272" i="5"/>
  <c r="E386" i="5"/>
  <c r="G387" i="5"/>
  <c r="Q273" i="5" l="1"/>
  <c r="P273" i="5"/>
  <c r="E387" i="5"/>
  <c r="G388" i="5"/>
  <c r="R273" i="5" l="1"/>
  <c r="S274" i="5" s="1"/>
  <c r="O273" i="5"/>
  <c r="E388" i="5"/>
  <c r="G389" i="5"/>
  <c r="Q274" i="5" l="1"/>
  <c r="P274" i="5"/>
  <c r="E389" i="5"/>
  <c r="G390" i="5"/>
  <c r="R274" i="5" l="1"/>
  <c r="S275" i="5" s="1"/>
  <c r="O274" i="5"/>
  <c r="E390" i="5"/>
  <c r="G391" i="5"/>
  <c r="Q275" i="5" l="1"/>
  <c r="P275" i="5"/>
  <c r="E391" i="5"/>
  <c r="G392" i="5"/>
  <c r="R275" i="5" l="1"/>
  <c r="S276" i="5" s="1"/>
  <c r="O275" i="5"/>
  <c r="E392" i="5"/>
  <c r="G393" i="5"/>
  <c r="Q276" i="5" l="1"/>
  <c r="P276" i="5"/>
  <c r="E393" i="5"/>
  <c r="G394" i="5"/>
  <c r="R276" i="5" l="1"/>
  <c r="S277" i="5" s="1"/>
  <c r="O276" i="5"/>
  <c r="E394" i="5"/>
  <c r="G395" i="5"/>
  <c r="Q277" i="5" l="1"/>
  <c r="P277" i="5"/>
  <c r="E395" i="5"/>
  <c r="G396" i="5"/>
  <c r="R277" i="5" l="1"/>
  <c r="S278" i="5" s="1"/>
  <c r="O277" i="5"/>
  <c r="E396" i="5"/>
  <c r="G397" i="5"/>
  <c r="Q278" i="5" l="1"/>
  <c r="P278" i="5"/>
  <c r="E397" i="5"/>
  <c r="G398" i="5"/>
  <c r="R278" i="5" l="1"/>
  <c r="S279" i="5" s="1"/>
  <c r="O278" i="5"/>
  <c r="E398" i="5"/>
  <c r="G399" i="5"/>
  <c r="Q279" i="5" l="1"/>
  <c r="P279" i="5"/>
  <c r="E399" i="5"/>
  <c r="G400" i="5"/>
  <c r="R279" i="5" l="1"/>
  <c r="S280" i="5" s="1"/>
  <c r="O279" i="5"/>
  <c r="E400" i="5"/>
  <c r="G401" i="5"/>
  <c r="Q280" i="5" l="1"/>
  <c r="P280" i="5"/>
  <c r="E401" i="5"/>
  <c r="G402" i="5"/>
  <c r="R280" i="5" l="1"/>
  <c r="S281" i="5" s="1"/>
  <c r="O280" i="5"/>
  <c r="E402" i="5"/>
  <c r="G403" i="5"/>
  <c r="Q281" i="5" l="1"/>
  <c r="P281" i="5"/>
  <c r="E403" i="5"/>
  <c r="G404" i="5"/>
  <c r="R281" i="5" l="1"/>
  <c r="S282" i="5" s="1"/>
  <c r="O281" i="5"/>
  <c r="E404" i="5"/>
  <c r="G405" i="5"/>
  <c r="Q282" i="5" l="1"/>
  <c r="P282" i="5"/>
  <c r="E405" i="5"/>
  <c r="G406" i="5"/>
  <c r="R282" i="5" l="1"/>
  <c r="S283" i="5" s="1"/>
  <c r="O282" i="5"/>
  <c r="E406" i="5"/>
  <c r="G407" i="5"/>
  <c r="Q283" i="5" l="1"/>
  <c r="P283" i="5"/>
  <c r="E407" i="5"/>
  <c r="G408" i="5"/>
  <c r="R283" i="5" l="1"/>
  <c r="S284" i="5" s="1"/>
  <c r="O283" i="5"/>
  <c r="E408" i="5"/>
  <c r="G409" i="5"/>
  <c r="Q284" i="5" l="1"/>
  <c r="P284" i="5"/>
  <c r="E409" i="5"/>
  <c r="G410" i="5"/>
  <c r="R284" i="5" l="1"/>
  <c r="S285" i="5" s="1"/>
  <c r="O284" i="5"/>
  <c r="E410" i="5"/>
  <c r="G411" i="5"/>
  <c r="Q285" i="5" l="1"/>
  <c r="P285" i="5"/>
  <c r="E411" i="5"/>
  <c r="G412" i="5"/>
  <c r="R285" i="5" l="1"/>
  <c r="S286" i="5" s="1"/>
  <c r="O285" i="5"/>
  <c r="E412" i="5"/>
  <c r="G413" i="5"/>
  <c r="Q286" i="5" l="1"/>
  <c r="P286" i="5"/>
  <c r="E413" i="5"/>
  <c r="G414" i="5"/>
  <c r="R286" i="5" l="1"/>
  <c r="S287" i="5" s="1"/>
  <c r="O286" i="5"/>
  <c r="E414" i="5"/>
  <c r="G415" i="5"/>
  <c r="Q287" i="5" l="1"/>
  <c r="P287" i="5"/>
  <c r="E415" i="5"/>
  <c r="G416" i="5"/>
  <c r="R287" i="5" l="1"/>
  <c r="S288" i="5" s="1"/>
  <c r="O287" i="5"/>
  <c r="E416" i="5"/>
  <c r="G417" i="5"/>
  <c r="Q288" i="5" l="1"/>
  <c r="P288" i="5"/>
  <c r="E417" i="5"/>
  <c r="G418" i="5"/>
  <c r="R288" i="5" l="1"/>
  <c r="S289" i="5" s="1"/>
  <c r="O288" i="5"/>
  <c r="E418" i="5"/>
  <c r="G419" i="5"/>
  <c r="Q289" i="5" l="1"/>
  <c r="P289" i="5"/>
  <c r="E419" i="5"/>
  <c r="G420" i="5"/>
  <c r="R289" i="5" l="1"/>
  <c r="S290" i="5" s="1"/>
  <c r="O289" i="5"/>
  <c r="E420" i="5"/>
  <c r="G421" i="5"/>
  <c r="Q290" i="5" l="1"/>
  <c r="P290" i="5"/>
  <c r="E421" i="5"/>
  <c r="G422" i="5"/>
  <c r="R290" i="5" l="1"/>
  <c r="S291" i="5" s="1"/>
  <c r="O290" i="5"/>
  <c r="E422" i="5"/>
  <c r="G423" i="5"/>
  <c r="Q291" i="5" l="1"/>
  <c r="P291" i="5"/>
  <c r="E423" i="5"/>
  <c r="G424" i="5"/>
  <c r="R291" i="5" l="1"/>
  <c r="S292" i="5" s="1"/>
  <c r="O291" i="5"/>
  <c r="E424" i="5"/>
  <c r="G425" i="5"/>
  <c r="Q292" i="5" l="1"/>
  <c r="P292" i="5"/>
  <c r="E425" i="5"/>
  <c r="G426" i="5"/>
  <c r="R292" i="5" l="1"/>
  <c r="S293" i="5" s="1"/>
  <c r="O292" i="5"/>
  <c r="E426" i="5"/>
  <c r="G427" i="5"/>
  <c r="Q293" i="5" l="1"/>
  <c r="P293" i="5"/>
  <c r="E427" i="5"/>
  <c r="G428" i="5"/>
  <c r="R293" i="5" l="1"/>
  <c r="S294" i="5" s="1"/>
  <c r="O293" i="5"/>
  <c r="E428" i="5"/>
  <c r="G429" i="5"/>
  <c r="Q294" i="5" l="1"/>
  <c r="P294" i="5"/>
  <c r="E429" i="5"/>
  <c r="G430" i="5"/>
  <c r="R294" i="5" l="1"/>
  <c r="S295" i="5" s="1"/>
  <c r="O294" i="5"/>
  <c r="E430" i="5"/>
  <c r="G431" i="5"/>
  <c r="Q295" i="5" l="1"/>
  <c r="P295" i="5"/>
  <c r="E431" i="5"/>
  <c r="G432" i="5"/>
  <c r="R295" i="5" l="1"/>
  <c r="S296" i="5" s="1"/>
  <c r="O295" i="5"/>
  <c r="E432" i="5"/>
  <c r="G433" i="5"/>
  <c r="Q296" i="5" l="1"/>
  <c r="P296" i="5"/>
  <c r="E433" i="5"/>
  <c r="G434" i="5"/>
  <c r="R296" i="5" l="1"/>
  <c r="S297" i="5" s="1"/>
  <c r="O296" i="5"/>
  <c r="E434" i="5"/>
  <c r="G435" i="5"/>
  <c r="Q297" i="5" l="1"/>
  <c r="P297" i="5"/>
  <c r="E435" i="5"/>
  <c r="G436" i="5"/>
  <c r="R297" i="5" l="1"/>
  <c r="S298" i="5" s="1"/>
  <c r="O297" i="5"/>
  <c r="E436" i="5"/>
  <c r="G437" i="5"/>
  <c r="Q298" i="5" l="1"/>
  <c r="P298" i="5"/>
  <c r="E437" i="5"/>
  <c r="G438" i="5"/>
  <c r="R298" i="5" l="1"/>
  <c r="S299" i="5" s="1"/>
  <c r="O298" i="5"/>
  <c r="E438" i="5"/>
  <c r="G439" i="5"/>
  <c r="Q299" i="5" l="1"/>
  <c r="P299" i="5"/>
  <c r="E439" i="5"/>
  <c r="G440" i="5"/>
  <c r="R299" i="5" l="1"/>
  <c r="S300" i="5" s="1"/>
  <c r="O299" i="5"/>
  <c r="E440" i="5"/>
  <c r="G441" i="5"/>
  <c r="Q300" i="5" l="1"/>
  <c r="P300" i="5"/>
  <c r="E441" i="5"/>
  <c r="G442" i="5"/>
  <c r="R300" i="5" l="1"/>
  <c r="S301" i="5" s="1"/>
  <c r="O300" i="5"/>
  <c r="E442" i="5"/>
  <c r="G443" i="5"/>
  <c r="Q301" i="5" l="1"/>
  <c r="P301" i="5"/>
  <c r="E443" i="5"/>
  <c r="G444" i="5"/>
  <c r="R301" i="5" l="1"/>
  <c r="S302" i="5" s="1"/>
  <c r="O301" i="5"/>
  <c r="E444" i="5"/>
  <c r="G445" i="5"/>
  <c r="Q302" i="5" l="1"/>
  <c r="P302" i="5"/>
  <c r="E445" i="5"/>
  <c r="G446" i="5"/>
  <c r="R302" i="5" l="1"/>
  <c r="S303" i="5" s="1"/>
  <c r="O302" i="5"/>
  <c r="E446" i="5"/>
  <c r="G447" i="5"/>
  <c r="Q303" i="5" l="1"/>
  <c r="P303" i="5"/>
  <c r="E447" i="5"/>
  <c r="G448" i="5"/>
  <c r="R303" i="5" l="1"/>
  <c r="S304" i="5" s="1"/>
  <c r="O303" i="5"/>
  <c r="E448" i="5"/>
  <c r="G449" i="5"/>
  <c r="Q304" i="5" l="1"/>
  <c r="P304" i="5"/>
  <c r="E449" i="5"/>
  <c r="G450" i="5"/>
  <c r="R304" i="5" l="1"/>
  <c r="S305" i="5" s="1"/>
  <c r="O304" i="5"/>
  <c r="E450" i="5"/>
  <c r="G451" i="5"/>
  <c r="Q305" i="5" l="1"/>
  <c r="P305" i="5"/>
  <c r="E451" i="5"/>
  <c r="G452" i="5"/>
  <c r="R305" i="5" l="1"/>
  <c r="S306" i="5" s="1"/>
  <c r="O305" i="5"/>
  <c r="E452" i="5"/>
  <c r="G453" i="5"/>
  <c r="Q306" i="5" l="1"/>
  <c r="P306" i="5"/>
  <c r="E453" i="5"/>
  <c r="G454" i="5"/>
  <c r="R306" i="5" l="1"/>
  <c r="S307" i="5" s="1"/>
  <c r="O306" i="5"/>
  <c r="E454" i="5"/>
  <c r="G455" i="5"/>
  <c r="Q307" i="5" l="1"/>
  <c r="P307" i="5"/>
  <c r="E455" i="5"/>
  <c r="G456" i="5"/>
  <c r="R307" i="5" l="1"/>
  <c r="S308" i="5" s="1"/>
  <c r="O307" i="5"/>
  <c r="E456" i="5"/>
  <c r="G457" i="5"/>
  <c r="Q308" i="5" l="1"/>
  <c r="P308" i="5"/>
  <c r="E457" i="5"/>
  <c r="G458" i="5"/>
  <c r="R308" i="5" l="1"/>
  <c r="S309" i="5" s="1"/>
  <c r="O308" i="5"/>
  <c r="E458" i="5"/>
  <c r="G459" i="5"/>
  <c r="Q309" i="5" l="1"/>
  <c r="P309" i="5"/>
  <c r="E459" i="5"/>
  <c r="G460" i="5"/>
  <c r="R309" i="5" l="1"/>
  <c r="S310" i="5" s="1"/>
  <c r="O309" i="5"/>
  <c r="E460" i="5"/>
  <c r="G461" i="5"/>
  <c r="Q310" i="5" l="1"/>
  <c r="P310" i="5"/>
  <c r="E461" i="5"/>
  <c r="G462" i="5"/>
  <c r="R310" i="5" l="1"/>
  <c r="S311" i="5" s="1"/>
  <c r="O310" i="5"/>
  <c r="E462" i="5"/>
  <c r="G463" i="5"/>
  <c r="Q311" i="5" l="1"/>
  <c r="P311" i="5"/>
  <c r="E463" i="5"/>
  <c r="G464" i="5"/>
  <c r="R311" i="5" l="1"/>
  <c r="S312" i="5" s="1"/>
  <c r="O311" i="5"/>
  <c r="E464" i="5"/>
  <c r="G465" i="5"/>
  <c r="Q312" i="5" l="1"/>
  <c r="P312" i="5"/>
  <c r="E465" i="5"/>
  <c r="G466" i="5"/>
  <c r="R312" i="5" l="1"/>
  <c r="S313" i="5" s="1"/>
  <c r="O312" i="5"/>
  <c r="E466" i="5"/>
  <c r="G467" i="5"/>
  <c r="Q313" i="5" l="1"/>
  <c r="P313" i="5"/>
  <c r="E467" i="5"/>
  <c r="G468" i="5"/>
  <c r="R313" i="5" l="1"/>
  <c r="S314" i="5" s="1"/>
  <c r="O313" i="5"/>
  <c r="E468" i="5"/>
  <c r="G469" i="5"/>
  <c r="Q314" i="5" l="1"/>
  <c r="P314" i="5"/>
  <c r="E469" i="5"/>
  <c r="G470" i="5"/>
  <c r="R314" i="5" l="1"/>
  <c r="S315" i="5" s="1"/>
  <c r="O314" i="5"/>
  <c r="E470" i="5"/>
  <c r="G471" i="5"/>
  <c r="Q315" i="5" l="1"/>
  <c r="P315" i="5"/>
  <c r="E471" i="5"/>
  <c r="G472" i="5"/>
  <c r="R315" i="5" l="1"/>
  <c r="S316" i="5" s="1"/>
  <c r="O315" i="5"/>
  <c r="E472" i="5"/>
  <c r="G473" i="5"/>
  <c r="Q316" i="5" l="1"/>
  <c r="P316" i="5"/>
  <c r="E473" i="5"/>
  <c r="G474" i="5"/>
  <c r="R316" i="5" l="1"/>
  <c r="S317" i="5" s="1"/>
  <c r="O316" i="5"/>
  <c r="E474" i="5"/>
  <c r="G475" i="5"/>
  <c r="Q317" i="5" l="1"/>
  <c r="P317" i="5"/>
  <c r="E475" i="5"/>
  <c r="G476" i="5"/>
  <c r="R317" i="5" l="1"/>
  <c r="S318" i="5" s="1"/>
  <c r="O317" i="5"/>
  <c r="E476" i="5"/>
  <c r="G477" i="5"/>
  <c r="Q318" i="5" l="1"/>
  <c r="P318" i="5"/>
  <c r="E477" i="5"/>
  <c r="G478" i="5"/>
  <c r="R318" i="5" l="1"/>
  <c r="S319" i="5" s="1"/>
  <c r="O318" i="5"/>
  <c r="E478" i="5"/>
  <c r="G479" i="5"/>
  <c r="Q319" i="5" l="1"/>
  <c r="P319" i="5"/>
  <c r="E479" i="5"/>
  <c r="G480" i="5"/>
  <c r="R319" i="5" l="1"/>
  <c r="S320" i="5" s="1"/>
  <c r="O319" i="5"/>
  <c r="E480" i="5"/>
  <c r="G481" i="5"/>
  <c r="Q320" i="5" l="1"/>
  <c r="P320" i="5"/>
  <c r="E481" i="5"/>
  <c r="G482" i="5"/>
  <c r="R320" i="5" l="1"/>
  <c r="S321" i="5" s="1"/>
  <c r="O320" i="5"/>
  <c r="E482" i="5"/>
  <c r="G483" i="5"/>
  <c r="Q321" i="5" l="1"/>
  <c r="P321" i="5"/>
  <c r="E483" i="5"/>
  <c r="G484" i="5"/>
  <c r="R321" i="5" l="1"/>
  <c r="S322" i="5" s="1"/>
  <c r="O321" i="5"/>
  <c r="E484" i="5"/>
  <c r="G485" i="5"/>
  <c r="Q322" i="5" l="1"/>
  <c r="P322" i="5"/>
  <c r="E485" i="5"/>
  <c r="G486" i="5"/>
  <c r="O322" i="5" l="1"/>
  <c r="R322" i="5"/>
  <c r="S323" i="5" s="1"/>
  <c r="E486" i="5"/>
  <c r="G487" i="5"/>
  <c r="P323" i="5" l="1"/>
  <c r="O323" i="5" s="1"/>
  <c r="Q323" i="5"/>
  <c r="E487" i="5"/>
  <c r="G488" i="5"/>
  <c r="R323" i="5" l="1"/>
  <c r="S324" i="5" s="1"/>
  <c r="Q324" i="5" s="1"/>
  <c r="E488" i="5"/>
  <c r="G489" i="5"/>
  <c r="P324" i="5" l="1"/>
  <c r="R324" i="5" s="1"/>
  <c r="S325" i="5" s="1"/>
  <c r="E489" i="5"/>
  <c r="G490" i="5"/>
  <c r="O324" i="5" l="1"/>
  <c r="Q325" i="5"/>
  <c r="P325" i="5"/>
  <c r="E490" i="5"/>
  <c r="G491" i="5"/>
  <c r="R325" i="5" l="1"/>
  <c r="S326" i="5" s="1"/>
  <c r="O325" i="5"/>
  <c r="E491" i="5"/>
  <c r="G492" i="5"/>
  <c r="Q326" i="5" l="1"/>
  <c r="P326" i="5"/>
  <c r="E492" i="5"/>
  <c r="G493" i="5"/>
  <c r="R326" i="5" l="1"/>
  <c r="S327" i="5" s="1"/>
  <c r="O326" i="5"/>
  <c r="E493" i="5"/>
  <c r="G494" i="5"/>
  <c r="Q327" i="5" l="1"/>
  <c r="P327" i="5"/>
  <c r="E494" i="5"/>
  <c r="G495" i="5"/>
  <c r="R327" i="5" l="1"/>
  <c r="S328" i="5" s="1"/>
  <c r="O327" i="5"/>
  <c r="E495" i="5"/>
  <c r="G496" i="5"/>
  <c r="Q328" i="5" l="1"/>
  <c r="P328" i="5"/>
  <c r="E496" i="5"/>
  <c r="G497" i="5"/>
  <c r="R328" i="5" l="1"/>
  <c r="S329" i="5" s="1"/>
  <c r="O328" i="5"/>
  <c r="E497" i="5"/>
  <c r="G498" i="5"/>
  <c r="Q329" i="5" l="1"/>
  <c r="P329" i="5"/>
  <c r="E498" i="5"/>
  <c r="G499" i="5"/>
  <c r="R329" i="5" l="1"/>
  <c r="S330" i="5" s="1"/>
  <c r="O329" i="5"/>
  <c r="E499" i="5"/>
  <c r="G500" i="5"/>
  <c r="Q330" i="5" l="1"/>
  <c r="P330" i="5"/>
  <c r="E500" i="5"/>
  <c r="G501" i="5"/>
  <c r="R330" i="5" l="1"/>
  <c r="S331" i="5" s="1"/>
  <c r="O330" i="5"/>
  <c r="E501" i="5"/>
  <c r="G502" i="5"/>
  <c r="Q331" i="5" l="1"/>
  <c r="P331" i="5"/>
  <c r="E502" i="5"/>
  <c r="G503" i="5"/>
  <c r="R331" i="5" l="1"/>
  <c r="S332" i="5" s="1"/>
  <c r="O331" i="5"/>
  <c r="E503" i="5"/>
  <c r="G504" i="5"/>
  <c r="Q332" i="5" l="1"/>
  <c r="P332" i="5"/>
  <c r="E504" i="5"/>
  <c r="G505" i="5"/>
  <c r="R332" i="5" l="1"/>
  <c r="S333" i="5" s="1"/>
  <c r="O332" i="5"/>
  <c r="E505" i="5"/>
  <c r="G506" i="5"/>
  <c r="Q333" i="5" l="1"/>
  <c r="P333" i="5"/>
  <c r="E506" i="5"/>
  <c r="G507" i="5"/>
  <c r="R333" i="5" l="1"/>
  <c r="S334" i="5" s="1"/>
  <c r="O333" i="5"/>
  <c r="E507" i="5"/>
  <c r="G508" i="5"/>
  <c r="Q334" i="5" l="1"/>
  <c r="P334" i="5"/>
  <c r="E508" i="5"/>
  <c r="G509" i="5"/>
  <c r="R334" i="5" l="1"/>
  <c r="S335" i="5" s="1"/>
  <c r="O334" i="5"/>
  <c r="E509" i="5"/>
  <c r="G510" i="5"/>
  <c r="Q335" i="5" l="1"/>
  <c r="P335" i="5"/>
  <c r="E510" i="5"/>
  <c r="G511" i="5"/>
  <c r="R335" i="5" l="1"/>
  <c r="S336" i="5" s="1"/>
  <c r="O335" i="5"/>
  <c r="E511" i="5"/>
  <c r="G512" i="5"/>
  <c r="Q336" i="5" l="1"/>
  <c r="P336" i="5"/>
  <c r="E512" i="5"/>
  <c r="G513" i="5"/>
  <c r="R336" i="5" l="1"/>
  <c r="S337" i="5" s="1"/>
  <c r="O336" i="5"/>
  <c r="E513" i="5"/>
  <c r="G514" i="5"/>
  <c r="Q337" i="5" l="1"/>
  <c r="P337" i="5"/>
  <c r="E514" i="5"/>
  <c r="G515" i="5"/>
  <c r="R337" i="5" l="1"/>
  <c r="S338" i="5" s="1"/>
  <c r="O337" i="5"/>
  <c r="E515" i="5"/>
  <c r="G516" i="5"/>
  <c r="Q338" i="5" l="1"/>
  <c r="P338" i="5"/>
  <c r="E516" i="5"/>
  <c r="G517" i="5"/>
  <c r="R338" i="5" l="1"/>
  <c r="S339" i="5" s="1"/>
  <c r="O338" i="5"/>
  <c r="E517" i="5"/>
  <c r="G518" i="5"/>
  <c r="Q339" i="5" l="1"/>
  <c r="P339" i="5"/>
  <c r="E518" i="5"/>
  <c r="G519" i="5"/>
  <c r="R339" i="5" l="1"/>
  <c r="S340" i="5" s="1"/>
  <c r="O339" i="5"/>
  <c r="E519" i="5"/>
  <c r="G520" i="5"/>
  <c r="Q340" i="5" l="1"/>
  <c r="P340" i="5"/>
  <c r="E520" i="5"/>
  <c r="G521" i="5"/>
  <c r="R340" i="5" l="1"/>
  <c r="S341" i="5" s="1"/>
  <c r="O340" i="5"/>
  <c r="E521" i="5"/>
  <c r="G522" i="5"/>
  <c r="Q341" i="5" l="1"/>
  <c r="P341" i="5"/>
  <c r="E522" i="5"/>
  <c r="G523" i="5"/>
  <c r="R341" i="5" l="1"/>
  <c r="S342" i="5" s="1"/>
  <c r="O341" i="5"/>
  <c r="E523" i="5"/>
  <c r="G524" i="5"/>
  <c r="Q342" i="5" l="1"/>
  <c r="P342" i="5"/>
  <c r="E524" i="5"/>
  <c r="G525" i="5"/>
  <c r="R342" i="5" l="1"/>
  <c r="S343" i="5" s="1"/>
  <c r="O342" i="5"/>
  <c r="E525" i="5"/>
  <c r="G526" i="5"/>
  <c r="Q343" i="5" l="1"/>
  <c r="P343" i="5"/>
  <c r="E526" i="5"/>
  <c r="G527" i="5"/>
  <c r="R343" i="5" l="1"/>
  <c r="S344" i="5" s="1"/>
  <c r="O343" i="5"/>
  <c r="E527" i="5"/>
  <c r="G528" i="5"/>
  <c r="Q344" i="5" l="1"/>
  <c r="P344" i="5"/>
  <c r="E528" i="5"/>
  <c r="G529" i="5"/>
  <c r="R344" i="5" l="1"/>
  <c r="S345" i="5" s="1"/>
  <c r="O344" i="5"/>
  <c r="E529" i="5"/>
  <c r="G530" i="5"/>
  <c r="Q345" i="5" l="1"/>
  <c r="P345" i="5"/>
  <c r="E530" i="5"/>
  <c r="G531" i="5"/>
  <c r="R345" i="5" l="1"/>
  <c r="S346" i="5" s="1"/>
  <c r="O345" i="5"/>
  <c r="E531" i="5"/>
  <c r="G532" i="5"/>
  <c r="Q346" i="5" l="1"/>
  <c r="P346" i="5"/>
  <c r="E532" i="5"/>
  <c r="G533" i="5"/>
  <c r="R346" i="5" l="1"/>
  <c r="S347" i="5" s="1"/>
  <c r="O346" i="5"/>
  <c r="E533" i="5"/>
  <c r="G534" i="5"/>
  <c r="Q347" i="5" l="1"/>
  <c r="P347" i="5"/>
  <c r="E534" i="5"/>
  <c r="G535" i="5"/>
  <c r="R347" i="5" l="1"/>
  <c r="S348" i="5" s="1"/>
  <c r="O347" i="5"/>
  <c r="E535" i="5"/>
  <c r="G536" i="5"/>
  <c r="Q348" i="5" l="1"/>
  <c r="P348" i="5"/>
  <c r="E536" i="5"/>
  <c r="G537" i="5"/>
  <c r="R348" i="5" l="1"/>
  <c r="S349" i="5" s="1"/>
  <c r="O348" i="5"/>
  <c r="E537" i="5"/>
  <c r="G538" i="5"/>
  <c r="Q349" i="5" l="1"/>
  <c r="P349" i="5"/>
  <c r="E538" i="5"/>
  <c r="G539" i="5"/>
  <c r="R349" i="5" l="1"/>
  <c r="S350" i="5" s="1"/>
  <c r="O349" i="5"/>
  <c r="E539" i="5"/>
  <c r="G540" i="5"/>
  <c r="Q350" i="5" l="1"/>
  <c r="P350" i="5"/>
  <c r="E540" i="5"/>
  <c r="G541" i="5"/>
  <c r="R350" i="5" l="1"/>
  <c r="S351" i="5" s="1"/>
  <c r="O350" i="5"/>
  <c r="E541" i="5"/>
  <c r="G542" i="5"/>
  <c r="Q351" i="5" l="1"/>
  <c r="P351" i="5"/>
  <c r="E542" i="5"/>
  <c r="G543" i="5"/>
  <c r="R351" i="5" l="1"/>
  <c r="S352" i="5" s="1"/>
  <c r="O351" i="5"/>
  <c r="E543" i="5"/>
  <c r="G544" i="5"/>
  <c r="Q352" i="5" l="1"/>
  <c r="P352" i="5"/>
  <c r="E544" i="5"/>
  <c r="G545" i="5"/>
  <c r="R352" i="5" l="1"/>
  <c r="S353" i="5" s="1"/>
  <c r="O352" i="5"/>
  <c r="E545" i="5"/>
  <c r="G546" i="5"/>
  <c r="Q353" i="5" l="1"/>
  <c r="P353" i="5"/>
  <c r="E546" i="5"/>
  <c r="G547" i="5"/>
  <c r="R353" i="5" l="1"/>
  <c r="S354" i="5" s="1"/>
  <c r="O353" i="5"/>
  <c r="E547" i="5"/>
  <c r="G548" i="5"/>
  <c r="Q354" i="5" l="1"/>
  <c r="P354" i="5"/>
  <c r="E548" i="5"/>
  <c r="G549" i="5"/>
  <c r="R354" i="5" l="1"/>
  <c r="S355" i="5" s="1"/>
  <c r="O354" i="5"/>
  <c r="E549" i="5"/>
  <c r="G550" i="5"/>
  <c r="Q355" i="5" l="1"/>
  <c r="P355" i="5"/>
  <c r="E550" i="5"/>
  <c r="G551" i="5"/>
  <c r="R355" i="5" l="1"/>
  <c r="S356" i="5" s="1"/>
  <c r="O355" i="5"/>
  <c r="E551" i="5"/>
  <c r="G552" i="5"/>
  <c r="Q356" i="5" l="1"/>
  <c r="P356" i="5"/>
  <c r="E552" i="5"/>
  <c r="G553" i="5"/>
  <c r="R356" i="5" l="1"/>
  <c r="S357" i="5" s="1"/>
  <c r="O356" i="5"/>
  <c r="E553" i="5"/>
  <c r="G554" i="5"/>
  <c r="Q357" i="5" l="1"/>
  <c r="P357" i="5"/>
  <c r="E554" i="5"/>
  <c r="G555" i="5"/>
  <c r="R357" i="5" l="1"/>
  <c r="S358" i="5" s="1"/>
  <c r="O357" i="5"/>
  <c r="E555" i="5"/>
  <c r="G556" i="5"/>
  <c r="Q358" i="5" l="1"/>
  <c r="P358" i="5"/>
  <c r="E556" i="5"/>
  <c r="G557" i="5"/>
  <c r="R358" i="5" l="1"/>
  <c r="S359" i="5" s="1"/>
  <c r="O358" i="5"/>
  <c r="E557" i="5"/>
  <c r="G558" i="5"/>
  <c r="Q359" i="5" l="1"/>
  <c r="P359" i="5"/>
  <c r="E558" i="5"/>
  <c r="G559" i="5"/>
  <c r="R359" i="5" l="1"/>
  <c r="S360" i="5" s="1"/>
  <c r="O359" i="5"/>
  <c r="E559" i="5"/>
  <c r="G560" i="5"/>
  <c r="Q360" i="5" l="1"/>
  <c r="P360" i="5"/>
  <c r="E560" i="5"/>
  <c r="G561" i="5"/>
  <c r="R360" i="5" l="1"/>
  <c r="S361" i="5" s="1"/>
  <c r="O360" i="5"/>
  <c r="E561" i="5"/>
  <c r="G562" i="5"/>
  <c r="Q361" i="5" l="1"/>
  <c r="P361" i="5"/>
  <c r="E562" i="5"/>
  <c r="G563" i="5"/>
  <c r="R361" i="5" l="1"/>
  <c r="S362" i="5" s="1"/>
  <c r="O361" i="5"/>
  <c r="E563" i="5"/>
  <c r="G564" i="5"/>
  <c r="Q362" i="5" l="1"/>
  <c r="P362" i="5"/>
  <c r="E564" i="5"/>
  <c r="G565" i="5"/>
  <c r="R362" i="5" l="1"/>
  <c r="S363" i="5" s="1"/>
  <c r="O362" i="5"/>
  <c r="E565" i="5"/>
  <c r="G566" i="5"/>
  <c r="Q363" i="5" l="1"/>
  <c r="P363" i="5"/>
  <c r="E566" i="5"/>
  <c r="G567" i="5"/>
  <c r="R363" i="5" l="1"/>
  <c r="S364" i="5" s="1"/>
  <c r="O363" i="5"/>
  <c r="E567" i="5"/>
  <c r="G568" i="5"/>
  <c r="Q364" i="5" l="1"/>
  <c r="P364" i="5"/>
  <c r="E568" i="5"/>
  <c r="G569" i="5"/>
  <c r="R364" i="5" l="1"/>
  <c r="S365" i="5" s="1"/>
  <c r="O364" i="5"/>
  <c r="E569" i="5"/>
  <c r="G570" i="5"/>
  <c r="Q365" i="5" l="1"/>
  <c r="P365" i="5"/>
  <c r="E570" i="5"/>
  <c r="G571" i="5"/>
  <c r="R365" i="5" l="1"/>
  <c r="S366" i="5" s="1"/>
  <c r="O365" i="5"/>
  <c r="E571" i="5"/>
  <c r="G572" i="5"/>
  <c r="Q366" i="5" l="1"/>
  <c r="P366" i="5"/>
  <c r="E572" i="5"/>
  <c r="G573" i="5"/>
  <c r="R366" i="5" l="1"/>
  <c r="S367" i="5" s="1"/>
  <c r="O366" i="5"/>
  <c r="E573" i="5"/>
  <c r="G574" i="5"/>
  <c r="Q367" i="5" l="1"/>
  <c r="P367" i="5"/>
  <c r="E574" i="5"/>
  <c r="G575" i="5"/>
  <c r="R367" i="5" l="1"/>
  <c r="S368" i="5" s="1"/>
  <c r="O367" i="5"/>
  <c r="E575" i="5"/>
  <c r="G576" i="5"/>
  <c r="Q368" i="5" l="1"/>
  <c r="P368" i="5"/>
  <c r="E576" i="5"/>
  <c r="G577" i="5"/>
  <c r="R368" i="5" l="1"/>
  <c r="S369" i="5" s="1"/>
  <c r="O368" i="5"/>
  <c r="E577" i="5"/>
  <c r="G578" i="5"/>
  <c r="Q369" i="5" l="1"/>
  <c r="P369" i="5"/>
  <c r="E578" i="5"/>
  <c r="G579" i="5"/>
  <c r="R369" i="5" l="1"/>
  <c r="S370" i="5" s="1"/>
  <c r="O369" i="5"/>
  <c r="E579" i="5"/>
  <c r="G580" i="5"/>
  <c r="Q370" i="5" l="1"/>
  <c r="P370" i="5"/>
  <c r="E580" i="5"/>
  <c r="G581" i="5"/>
  <c r="R370" i="5" l="1"/>
  <c r="S371" i="5" s="1"/>
  <c r="O370" i="5"/>
  <c r="E581" i="5"/>
  <c r="G582" i="5"/>
  <c r="Q371" i="5" l="1"/>
  <c r="P371" i="5"/>
  <c r="E582" i="5"/>
  <c r="G583" i="5"/>
  <c r="R371" i="5" l="1"/>
  <c r="S372" i="5" s="1"/>
  <c r="O371" i="5"/>
  <c r="E583" i="5"/>
  <c r="G584" i="5"/>
  <c r="Q372" i="5" l="1"/>
  <c r="P372" i="5"/>
  <c r="E584" i="5"/>
  <c r="G585" i="5"/>
  <c r="R372" i="5" l="1"/>
  <c r="S373" i="5" s="1"/>
  <c r="O372" i="5"/>
  <c r="E585" i="5"/>
  <c r="G586" i="5"/>
  <c r="Q373" i="5" l="1"/>
  <c r="P373" i="5"/>
  <c r="E586" i="5"/>
  <c r="G587" i="5"/>
  <c r="R373" i="5" l="1"/>
  <c r="S374" i="5" s="1"/>
  <c r="O373" i="5"/>
  <c r="E587" i="5"/>
  <c r="G588" i="5"/>
  <c r="Q374" i="5" l="1"/>
  <c r="P374" i="5"/>
  <c r="E588" i="5"/>
  <c r="G589" i="5"/>
  <c r="R374" i="5" l="1"/>
  <c r="S375" i="5" s="1"/>
  <c r="O374" i="5"/>
  <c r="E589" i="5"/>
  <c r="G590" i="5"/>
  <c r="Q375" i="5" l="1"/>
  <c r="P375" i="5"/>
  <c r="E590" i="5"/>
  <c r="G591" i="5"/>
  <c r="R375" i="5" l="1"/>
  <c r="S376" i="5" s="1"/>
  <c r="O375" i="5"/>
  <c r="E591" i="5"/>
  <c r="G592" i="5"/>
  <c r="Q376" i="5" l="1"/>
  <c r="P376" i="5"/>
  <c r="E592" i="5"/>
  <c r="G593" i="5"/>
  <c r="R376" i="5" l="1"/>
  <c r="S377" i="5" s="1"/>
  <c r="O376" i="5"/>
  <c r="E593" i="5"/>
  <c r="G594" i="5"/>
  <c r="Q377" i="5" l="1"/>
  <c r="P377" i="5"/>
  <c r="E594" i="5"/>
  <c r="G595" i="5"/>
  <c r="R377" i="5" l="1"/>
  <c r="S378" i="5" s="1"/>
  <c r="O377" i="5"/>
  <c r="E595" i="5"/>
  <c r="G596" i="5"/>
  <c r="Q378" i="5" l="1"/>
  <c r="P378" i="5"/>
  <c r="E596" i="5"/>
  <c r="G597" i="5"/>
  <c r="R378" i="5" l="1"/>
  <c r="S379" i="5" s="1"/>
  <c r="O378" i="5"/>
  <c r="E597" i="5"/>
  <c r="G598" i="5"/>
  <c r="Q379" i="5" l="1"/>
  <c r="P379" i="5"/>
  <c r="E598" i="5"/>
  <c r="G599" i="5"/>
  <c r="R379" i="5" l="1"/>
  <c r="S380" i="5" s="1"/>
  <c r="O379" i="5"/>
  <c r="E599" i="5"/>
  <c r="G600" i="5"/>
  <c r="Q380" i="5" l="1"/>
  <c r="P380" i="5"/>
  <c r="E600" i="5"/>
  <c r="G601" i="5"/>
  <c r="R380" i="5" l="1"/>
  <c r="S381" i="5" s="1"/>
  <c r="O380" i="5"/>
  <c r="E601" i="5"/>
  <c r="G602" i="5"/>
  <c r="Q381" i="5" l="1"/>
  <c r="P381" i="5"/>
  <c r="E602" i="5"/>
  <c r="G603" i="5"/>
  <c r="E603" i="5" s="1"/>
  <c r="R381" i="5" l="1"/>
  <c r="S382" i="5" s="1"/>
  <c r="O381" i="5"/>
  <c r="Q382" i="5" l="1"/>
  <c r="P382" i="5"/>
  <c r="R382" i="5" l="1"/>
  <c r="S383" i="5" s="1"/>
  <c r="O382" i="5"/>
  <c r="Q383" i="5" l="1"/>
  <c r="P383" i="5"/>
  <c r="R383" i="5" l="1"/>
  <c r="S384" i="5" s="1"/>
  <c r="O383" i="5"/>
  <c r="Q384" i="5" l="1"/>
  <c r="P384" i="5"/>
  <c r="R384" i="5" l="1"/>
  <c r="S385" i="5" s="1"/>
  <c r="O384" i="5"/>
  <c r="Q385" i="5" l="1"/>
  <c r="P385" i="5"/>
  <c r="R385" i="5" l="1"/>
  <c r="S386" i="5" s="1"/>
  <c r="O385" i="5"/>
  <c r="Q386" i="5" l="1"/>
  <c r="P386" i="5"/>
  <c r="R386" i="5" l="1"/>
  <c r="S387" i="5" s="1"/>
  <c r="O386" i="5"/>
  <c r="Q387" i="5" l="1"/>
  <c r="P387" i="5"/>
  <c r="R387" i="5" l="1"/>
  <c r="S388" i="5" s="1"/>
  <c r="O387" i="5"/>
  <c r="Q388" i="5" l="1"/>
  <c r="P388" i="5"/>
  <c r="R388" i="5" l="1"/>
  <c r="S389" i="5" s="1"/>
  <c r="O388" i="5"/>
  <c r="Q389" i="5" l="1"/>
  <c r="P389" i="5"/>
  <c r="R389" i="5" l="1"/>
  <c r="S390" i="5" s="1"/>
  <c r="O389" i="5"/>
  <c r="Q390" i="5" l="1"/>
  <c r="P390" i="5"/>
  <c r="R390" i="5" l="1"/>
  <c r="S391" i="5" s="1"/>
  <c r="O390" i="5"/>
  <c r="Q391" i="5" l="1"/>
  <c r="P391" i="5"/>
  <c r="R391" i="5" l="1"/>
  <c r="S392" i="5" s="1"/>
  <c r="O391" i="5"/>
  <c r="Q392" i="5" l="1"/>
  <c r="P392" i="5"/>
  <c r="R392" i="5" l="1"/>
  <c r="S393" i="5" s="1"/>
  <c r="O392" i="5"/>
  <c r="Q393" i="5" l="1"/>
  <c r="P393" i="5"/>
  <c r="R393" i="5" l="1"/>
  <c r="S394" i="5" s="1"/>
  <c r="O393" i="5"/>
  <c r="Q394" i="5" l="1"/>
  <c r="P394" i="5"/>
  <c r="R394" i="5" l="1"/>
  <c r="S395" i="5" s="1"/>
  <c r="O394" i="5"/>
  <c r="Q395" i="5" l="1"/>
  <c r="P395" i="5"/>
  <c r="R395" i="5" l="1"/>
  <c r="S396" i="5" s="1"/>
  <c r="O395" i="5"/>
  <c r="Q396" i="5" l="1"/>
  <c r="P396" i="5"/>
  <c r="R396" i="5" l="1"/>
  <c r="S397" i="5" s="1"/>
  <c r="O396" i="5"/>
  <c r="Q397" i="5" l="1"/>
  <c r="P397" i="5"/>
  <c r="R397" i="5" l="1"/>
  <c r="S398" i="5" s="1"/>
  <c r="O397" i="5"/>
  <c r="Q398" i="5" l="1"/>
  <c r="P398" i="5"/>
  <c r="R398" i="5" l="1"/>
  <c r="S399" i="5" s="1"/>
  <c r="O398" i="5"/>
  <c r="Q399" i="5" l="1"/>
  <c r="P399" i="5"/>
  <c r="R399" i="5" l="1"/>
  <c r="S400" i="5" s="1"/>
  <c r="O399" i="5"/>
  <c r="Q400" i="5" l="1"/>
  <c r="P400" i="5"/>
  <c r="R400" i="5" l="1"/>
  <c r="S401" i="5" s="1"/>
  <c r="O400" i="5"/>
  <c r="Q401" i="5" l="1"/>
  <c r="P401" i="5"/>
  <c r="R401" i="5" l="1"/>
  <c r="S402" i="5" s="1"/>
  <c r="O401" i="5"/>
  <c r="Q402" i="5" l="1"/>
  <c r="P402" i="5"/>
  <c r="R402" i="5" l="1"/>
  <c r="S403" i="5" s="1"/>
  <c r="O402" i="5"/>
  <c r="Q403" i="5" l="1"/>
  <c r="P403" i="5"/>
  <c r="R403" i="5" l="1"/>
  <c r="S404" i="5" s="1"/>
  <c r="O403" i="5"/>
  <c r="Q404" i="5" l="1"/>
  <c r="P404" i="5"/>
  <c r="R404" i="5" l="1"/>
  <c r="S405" i="5" s="1"/>
  <c r="O404" i="5"/>
  <c r="Q405" i="5" l="1"/>
  <c r="P405" i="5"/>
  <c r="R405" i="5" l="1"/>
  <c r="S406" i="5" s="1"/>
  <c r="O405" i="5"/>
  <c r="Q406" i="5" l="1"/>
  <c r="P406" i="5"/>
  <c r="R406" i="5" l="1"/>
  <c r="S407" i="5" s="1"/>
  <c r="O406" i="5"/>
  <c r="Q407" i="5" l="1"/>
  <c r="P407" i="5"/>
  <c r="R407" i="5" l="1"/>
  <c r="S408" i="5" s="1"/>
  <c r="O407" i="5"/>
  <c r="Q408" i="5" l="1"/>
  <c r="P408" i="5"/>
  <c r="R408" i="5" l="1"/>
  <c r="S409" i="5" s="1"/>
  <c r="O408" i="5"/>
  <c r="Q409" i="5" l="1"/>
  <c r="P409" i="5"/>
  <c r="R409" i="5" l="1"/>
  <c r="S410" i="5" s="1"/>
  <c r="O409" i="5"/>
  <c r="Q410" i="5" l="1"/>
  <c r="P410" i="5"/>
  <c r="R410" i="5" l="1"/>
  <c r="S411" i="5" s="1"/>
  <c r="O410" i="5"/>
  <c r="Q411" i="5" l="1"/>
  <c r="P411" i="5"/>
  <c r="R411" i="5" l="1"/>
  <c r="S412" i="5" s="1"/>
  <c r="O411" i="5"/>
  <c r="Q412" i="5" l="1"/>
  <c r="P412" i="5"/>
  <c r="R412" i="5" l="1"/>
  <c r="S413" i="5" s="1"/>
  <c r="O412" i="5"/>
  <c r="Q413" i="5" l="1"/>
  <c r="P413" i="5"/>
  <c r="R413" i="5" l="1"/>
  <c r="S414" i="5" s="1"/>
  <c r="O413" i="5"/>
  <c r="Q414" i="5" l="1"/>
  <c r="P414" i="5"/>
  <c r="R414" i="5" l="1"/>
  <c r="S415" i="5" s="1"/>
  <c r="O414" i="5"/>
  <c r="Q415" i="5" l="1"/>
  <c r="P415" i="5"/>
  <c r="R415" i="5" l="1"/>
  <c r="S416" i="5" s="1"/>
  <c r="O415" i="5"/>
  <c r="Q416" i="5" l="1"/>
  <c r="P416" i="5"/>
  <c r="R416" i="5" l="1"/>
  <c r="S417" i="5" s="1"/>
  <c r="O416" i="5"/>
  <c r="Q417" i="5" l="1"/>
  <c r="P417" i="5"/>
  <c r="R417" i="5" l="1"/>
  <c r="S418" i="5" s="1"/>
  <c r="O417" i="5"/>
  <c r="Q418" i="5" l="1"/>
  <c r="P418" i="5"/>
  <c r="R418" i="5" l="1"/>
  <c r="S419" i="5" s="1"/>
  <c r="O418" i="5"/>
  <c r="Q419" i="5" l="1"/>
  <c r="P419" i="5"/>
  <c r="R419" i="5" l="1"/>
  <c r="S420" i="5" s="1"/>
  <c r="O419" i="5"/>
  <c r="Q420" i="5" l="1"/>
  <c r="P420" i="5"/>
  <c r="R420" i="5" l="1"/>
  <c r="S421" i="5" s="1"/>
  <c r="O420" i="5"/>
  <c r="Q421" i="5" l="1"/>
  <c r="P421" i="5"/>
  <c r="R421" i="5" l="1"/>
  <c r="S422" i="5" s="1"/>
  <c r="O421" i="5"/>
  <c r="Q422" i="5" l="1"/>
  <c r="P422" i="5"/>
  <c r="R422" i="5" l="1"/>
  <c r="S423" i="5" s="1"/>
  <c r="O422" i="5"/>
  <c r="Q423" i="5" l="1"/>
  <c r="P423" i="5"/>
  <c r="R423" i="5" l="1"/>
  <c r="S424" i="5" s="1"/>
  <c r="O423" i="5"/>
  <c r="Q424" i="5" l="1"/>
  <c r="P424" i="5"/>
  <c r="R424" i="5" l="1"/>
  <c r="S425" i="5" s="1"/>
  <c r="O424" i="5"/>
  <c r="Q425" i="5" l="1"/>
  <c r="P425" i="5"/>
  <c r="R425" i="5" l="1"/>
  <c r="S426" i="5" s="1"/>
  <c r="O425" i="5"/>
  <c r="Q426" i="5" l="1"/>
  <c r="P426" i="5"/>
  <c r="R426" i="5" l="1"/>
  <c r="S427" i="5" s="1"/>
  <c r="O426" i="5"/>
  <c r="Q427" i="5" l="1"/>
  <c r="P427" i="5"/>
  <c r="R427" i="5" l="1"/>
  <c r="S428" i="5" s="1"/>
  <c r="O427" i="5"/>
  <c r="Q428" i="5" l="1"/>
  <c r="P428" i="5"/>
  <c r="R428" i="5" l="1"/>
  <c r="S429" i="5" s="1"/>
  <c r="O428" i="5"/>
  <c r="Q429" i="5" l="1"/>
  <c r="P429" i="5"/>
  <c r="R429" i="5" l="1"/>
  <c r="S430" i="5" s="1"/>
  <c r="O429" i="5"/>
  <c r="Q430" i="5" l="1"/>
  <c r="P430" i="5"/>
  <c r="R430" i="5" l="1"/>
  <c r="S431" i="5" s="1"/>
  <c r="O430" i="5"/>
  <c r="Q431" i="5" l="1"/>
  <c r="P431" i="5"/>
  <c r="R431" i="5" l="1"/>
  <c r="S432" i="5" s="1"/>
  <c r="O431" i="5"/>
  <c r="Q432" i="5" l="1"/>
  <c r="P432" i="5"/>
  <c r="R432" i="5" l="1"/>
  <c r="S433" i="5" s="1"/>
  <c r="O432" i="5"/>
  <c r="Q433" i="5" l="1"/>
  <c r="P433" i="5"/>
  <c r="R433" i="5" l="1"/>
  <c r="S434" i="5" s="1"/>
  <c r="O433" i="5"/>
  <c r="Q434" i="5" l="1"/>
  <c r="P434" i="5"/>
  <c r="R434" i="5" l="1"/>
  <c r="S435" i="5" s="1"/>
  <c r="O434" i="5"/>
  <c r="Q435" i="5" l="1"/>
  <c r="P435" i="5"/>
  <c r="R435" i="5" l="1"/>
  <c r="S436" i="5" s="1"/>
  <c r="O435" i="5"/>
  <c r="Q436" i="5" l="1"/>
  <c r="P436" i="5"/>
  <c r="R436" i="5" l="1"/>
  <c r="S437" i="5" s="1"/>
  <c r="O436" i="5"/>
  <c r="Q437" i="5" l="1"/>
  <c r="P437" i="5"/>
  <c r="R437" i="5" l="1"/>
  <c r="S438" i="5" s="1"/>
  <c r="O437" i="5"/>
  <c r="Q438" i="5" l="1"/>
  <c r="P438" i="5"/>
  <c r="R438" i="5" l="1"/>
  <c r="S439" i="5" s="1"/>
  <c r="O438" i="5"/>
  <c r="Q439" i="5" l="1"/>
  <c r="P439" i="5"/>
  <c r="R439" i="5" l="1"/>
  <c r="S440" i="5" s="1"/>
  <c r="O439" i="5"/>
  <c r="Q440" i="5" l="1"/>
  <c r="P440" i="5"/>
  <c r="R440" i="5" l="1"/>
  <c r="S441" i="5" s="1"/>
  <c r="O440" i="5"/>
  <c r="Q441" i="5" l="1"/>
  <c r="P441" i="5"/>
  <c r="R441" i="5" l="1"/>
  <c r="S442" i="5" s="1"/>
  <c r="O441" i="5"/>
  <c r="Q442" i="5" l="1"/>
  <c r="P442" i="5"/>
  <c r="R442" i="5" l="1"/>
  <c r="S443" i="5" s="1"/>
  <c r="O442" i="5"/>
  <c r="Q443" i="5" l="1"/>
  <c r="P443" i="5"/>
  <c r="R443" i="5" l="1"/>
  <c r="S444" i="5" s="1"/>
  <c r="O443" i="5"/>
  <c r="Q444" i="5" l="1"/>
  <c r="P444" i="5"/>
  <c r="R444" i="5" l="1"/>
  <c r="S445" i="5" s="1"/>
  <c r="O444" i="5"/>
  <c r="Q445" i="5" l="1"/>
  <c r="P445" i="5"/>
  <c r="R445" i="5" l="1"/>
  <c r="S446" i="5" s="1"/>
  <c r="O445" i="5"/>
  <c r="Q446" i="5" l="1"/>
  <c r="P446" i="5"/>
  <c r="R446" i="5" l="1"/>
  <c r="S447" i="5" s="1"/>
  <c r="O446" i="5"/>
  <c r="Q447" i="5" l="1"/>
  <c r="P447" i="5"/>
  <c r="R447" i="5" l="1"/>
  <c r="S448" i="5" s="1"/>
  <c r="O447" i="5"/>
  <c r="Q448" i="5" l="1"/>
  <c r="P448" i="5"/>
  <c r="R448" i="5" l="1"/>
  <c r="S449" i="5" s="1"/>
  <c r="O448" i="5"/>
  <c r="Q449" i="5" l="1"/>
  <c r="P449" i="5"/>
  <c r="R449" i="5" l="1"/>
  <c r="S450" i="5" s="1"/>
  <c r="O449" i="5"/>
  <c r="Q450" i="5" l="1"/>
  <c r="P450" i="5"/>
  <c r="R450" i="5" l="1"/>
  <c r="S451" i="5" s="1"/>
  <c r="O450" i="5"/>
  <c r="Q451" i="5" l="1"/>
  <c r="P451" i="5"/>
  <c r="R451" i="5" l="1"/>
  <c r="S452" i="5" s="1"/>
  <c r="O451" i="5"/>
  <c r="Q452" i="5" l="1"/>
  <c r="P452" i="5"/>
  <c r="R452" i="5" l="1"/>
  <c r="S453" i="5" s="1"/>
  <c r="O452" i="5"/>
  <c r="Q453" i="5" l="1"/>
  <c r="P453" i="5"/>
  <c r="R453" i="5" l="1"/>
  <c r="S454" i="5" s="1"/>
  <c r="O453" i="5"/>
  <c r="Q454" i="5" l="1"/>
  <c r="P454" i="5"/>
  <c r="R454" i="5" l="1"/>
  <c r="S455" i="5" s="1"/>
  <c r="O454" i="5"/>
  <c r="Q455" i="5" l="1"/>
  <c r="P455" i="5"/>
  <c r="R455" i="5" l="1"/>
  <c r="S456" i="5" s="1"/>
  <c r="O455" i="5"/>
  <c r="Q456" i="5" l="1"/>
  <c r="P456" i="5"/>
  <c r="R456" i="5" l="1"/>
  <c r="S457" i="5" s="1"/>
  <c r="O456" i="5"/>
  <c r="Q457" i="5" l="1"/>
  <c r="P457" i="5"/>
  <c r="R457" i="5" l="1"/>
  <c r="S458" i="5" s="1"/>
  <c r="O457" i="5"/>
  <c r="Q458" i="5" l="1"/>
  <c r="P458" i="5"/>
  <c r="R458" i="5" l="1"/>
  <c r="S459" i="5" s="1"/>
  <c r="O458" i="5"/>
  <c r="Q459" i="5" l="1"/>
  <c r="P459" i="5"/>
  <c r="R459" i="5" l="1"/>
  <c r="S460" i="5" s="1"/>
  <c r="O459" i="5"/>
  <c r="Q460" i="5" l="1"/>
  <c r="P460" i="5"/>
  <c r="R460" i="5" l="1"/>
  <c r="S461" i="5" s="1"/>
  <c r="O460" i="5"/>
  <c r="Q461" i="5" l="1"/>
  <c r="P461" i="5"/>
  <c r="R461" i="5" l="1"/>
  <c r="S462" i="5" s="1"/>
  <c r="O461" i="5"/>
  <c r="Q462" i="5" l="1"/>
  <c r="P462" i="5"/>
  <c r="R462" i="5" l="1"/>
  <c r="S463" i="5" s="1"/>
  <c r="O462" i="5"/>
  <c r="Q463" i="5" l="1"/>
  <c r="P463" i="5"/>
  <c r="R463" i="5" l="1"/>
  <c r="S464" i="5" s="1"/>
  <c r="O463" i="5"/>
  <c r="Q464" i="5" l="1"/>
  <c r="P464" i="5"/>
  <c r="R464" i="5" l="1"/>
  <c r="S465" i="5" s="1"/>
  <c r="O464" i="5"/>
  <c r="Q465" i="5" l="1"/>
  <c r="P465" i="5"/>
  <c r="R465" i="5" l="1"/>
  <c r="S466" i="5" s="1"/>
  <c r="O465" i="5"/>
  <c r="Q466" i="5" l="1"/>
  <c r="P466" i="5"/>
  <c r="R466" i="5" l="1"/>
  <c r="S467" i="5" s="1"/>
  <c r="O466" i="5"/>
  <c r="Q467" i="5" l="1"/>
  <c r="P467" i="5"/>
  <c r="R467" i="5" l="1"/>
  <c r="S468" i="5" s="1"/>
  <c r="O467" i="5"/>
  <c r="Q468" i="5" l="1"/>
  <c r="P468" i="5"/>
  <c r="R468" i="5" l="1"/>
  <c r="S469" i="5" s="1"/>
  <c r="O468" i="5"/>
  <c r="Q469" i="5" l="1"/>
  <c r="P469" i="5"/>
  <c r="R469" i="5" l="1"/>
  <c r="S470" i="5" s="1"/>
  <c r="O469" i="5"/>
  <c r="Q470" i="5" l="1"/>
  <c r="P470" i="5"/>
  <c r="R470" i="5" l="1"/>
  <c r="S471" i="5" s="1"/>
  <c r="O470" i="5"/>
  <c r="Q471" i="5" l="1"/>
  <c r="P471" i="5"/>
  <c r="R471" i="5" l="1"/>
  <c r="S472" i="5" s="1"/>
  <c r="O471" i="5"/>
  <c r="Q472" i="5" l="1"/>
  <c r="P472" i="5"/>
  <c r="R472" i="5" l="1"/>
  <c r="S473" i="5" s="1"/>
  <c r="O472" i="5"/>
  <c r="Q473" i="5" l="1"/>
  <c r="P473" i="5"/>
  <c r="R473" i="5" l="1"/>
  <c r="S474" i="5" s="1"/>
  <c r="O473" i="5"/>
  <c r="Q474" i="5" l="1"/>
  <c r="P474" i="5"/>
  <c r="R474" i="5" l="1"/>
  <c r="S475" i="5" s="1"/>
  <c r="O474" i="5"/>
  <c r="Q475" i="5" l="1"/>
  <c r="P475" i="5"/>
  <c r="R475" i="5" l="1"/>
  <c r="S476" i="5" s="1"/>
  <c r="O475" i="5"/>
  <c r="Q476" i="5" l="1"/>
  <c r="P476" i="5"/>
  <c r="R476" i="5" l="1"/>
  <c r="S477" i="5" s="1"/>
  <c r="O476" i="5"/>
  <c r="Q477" i="5" l="1"/>
  <c r="P477" i="5"/>
  <c r="R477" i="5" l="1"/>
  <c r="S478" i="5" s="1"/>
  <c r="O477" i="5"/>
  <c r="Q478" i="5" l="1"/>
  <c r="P478" i="5"/>
  <c r="R478" i="5" l="1"/>
  <c r="S479" i="5" s="1"/>
  <c r="O478" i="5"/>
  <c r="Q479" i="5" l="1"/>
  <c r="P479" i="5"/>
  <c r="R479" i="5" l="1"/>
  <c r="S480" i="5" s="1"/>
  <c r="O479" i="5"/>
  <c r="Q480" i="5" l="1"/>
  <c r="P480" i="5"/>
  <c r="R480" i="5" l="1"/>
  <c r="S481" i="5" s="1"/>
  <c r="O480" i="5"/>
  <c r="Q481" i="5" l="1"/>
  <c r="P481" i="5"/>
  <c r="R481" i="5" l="1"/>
  <c r="S482" i="5" s="1"/>
  <c r="O481" i="5"/>
  <c r="Q482" i="5" l="1"/>
  <c r="P482" i="5"/>
  <c r="R482" i="5" l="1"/>
  <c r="S483" i="5" s="1"/>
  <c r="O482" i="5"/>
  <c r="Q483" i="5" l="1"/>
  <c r="P483" i="5"/>
  <c r="R483" i="5" l="1"/>
  <c r="S484" i="5" s="1"/>
  <c r="O483" i="5"/>
  <c r="Q484" i="5" l="1"/>
  <c r="P484" i="5"/>
  <c r="R484" i="5" l="1"/>
  <c r="S485" i="5" s="1"/>
  <c r="O484" i="5"/>
  <c r="Q485" i="5" l="1"/>
  <c r="P485" i="5"/>
  <c r="R485" i="5" l="1"/>
  <c r="S486" i="5" s="1"/>
  <c r="O485" i="5"/>
  <c r="Q486" i="5" l="1"/>
  <c r="P486" i="5"/>
  <c r="R486" i="5" l="1"/>
  <c r="S487" i="5" s="1"/>
  <c r="O486" i="5"/>
  <c r="Q487" i="5" l="1"/>
  <c r="P487" i="5"/>
  <c r="R487" i="5" l="1"/>
  <c r="S488" i="5" s="1"/>
  <c r="O487" i="5"/>
  <c r="Q488" i="5" l="1"/>
  <c r="P488" i="5"/>
  <c r="R488" i="5" l="1"/>
  <c r="S489" i="5" s="1"/>
  <c r="O488" i="5"/>
  <c r="Q489" i="5" l="1"/>
  <c r="P489" i="5"/>
  <c r="R489" i="5" l="1"/>
  <c r="S490" i="5" s="1"/>
  <c r="O489" i="5"/>
  <c r="Q490" i="5" l="1"/>
  <c r="P490" i="5"/>
  <c r="R490" i="5" l="1"/>
  <c r="S491" i="5" s="1"/>
  <c r="O490" i="5"/>
  <c r="Q491" i="5" l="1"/>
  <c r="P491" i="5"/>
  <c r="R491" i="5" l="1"/>
  <c r="S492" i="5" s="1"/>
  <c r="O491" i="5"/>
  <c r="Q492" i="5" l="1"/>
  <c r="P492" i="5"/>
  <c r="R492" i="5" l="1"/>
  <c r="S493" i="5" s="1"/>
  <c r="O492" i="5"/>
  <c r="Q493" i="5" l="1"/>
  <c r="P493" i="5"/>
  <c r="R493" i="5" l="1"/>
  <c r="S494" i="5" s="1"/>
  <c r="O493" i="5"/>
  <c r="Q494" i="5" l="1"/>
  <c r="P494" i="5"/>
  <c r="R494" i="5" l="1"/>
  <c r="S495" i="5" s="1"/>
  <c r="O494" i="5"/>
  <c r="Q495" i="5" l="1"/>
  <c r="P495" i="5"/>
  <c r="R495" i="5" l="1"/>
  <c r="S496" i="5" s="1"/>
  <c r="O495" i="5"/>
  <c r="Q496" i="5" l="1"/>
  <c r="P496" i="5"/>
  <c r="R496" i="5" l="1"/>
  <c r="S497" i="5" s="1"/>
  <c r="O496" i="5"/>
  <c r="Q497" i="5" l="1"/>
  <c r="P497" i="5"/>
  <c r="R497" i="5" l="1"/>
  <c r="S498" i="5" s="1"/>
  <c r="O497" i="5"/>
  <c r="Q498" i="5" l="1"/>
  <c r="P498" i="5"/>
  <c r="R498" i="5" l="1"/>
  <c r="S499" i="5" s="1"/>
  <c r="O498" i="5"/>
  <c r="Q499" i="5" l="1"/>
  <c r="P499" i="5"/>
  <c r="R499" i="5" l="1"/>
  <c r="S500" i="5" s="1"/>
  <c r="O499" i="5"/>
  <c r="Q500" i="5" l="1"/>
  <c r="P500" i="5"/>
  <c r="R500" i="5" l="1"/>
  <c r="S501" i="5" s="1"/>
  <c r="O500" i="5"/>
  <c r="Q501" i="5" l="1"/>
  <c r="P501" i="5"/>
  <c r="R501" i="5" l="1"/>
  <c r="S502" i="5" s="1"/>
  <c r="O501" i="5"/>
  <c r="Q502" i="5" l="1"/>
  <c r="P502" i="5"/>
  <c r="R502" i="5" l="1"/>
  <c r="S503" i="5" s="1"/>
  <c r="O502" i="5"/>
  <c r="Q503" i="5" l="1"/>
  <c r="P503" i="5"/>
  <c r="R503" i="5" l="1"/>
  <c r="S504" i="5" s="1"/>
  <c r="O503" i="5"/>
  <c r="Q504" i="5" l="1"/>
  <c r="P504" i="5"/>
  <c r="R504" i="5" l="1"/>
  <c r="S505" i="5" s="1"/>
  <c r="O504" i="5"/>
  <c r="Q505" i="5" l="1"/>
  <c r="P505" i="5"/>
  <c r="R505" i="5" l="1"/>
  <c r="S506" i="5" s="1"/>
  <c r="O505" i="5"/>
  <c r="Q506" i="5" l="1"/>
  <c r="P506" i="5"/>
  <c r="R506" i="5" l="1"/>
  <c r="S507" i="5" s="1"/>
  <c r="O506" i="5"/>
  <c r="Q507" i="5" l="1"/>
  <c r="P507" i="5"/>
  <c r="R507" i="5" l="1"/>
  <c r="S508" i="5" s="1"/>
  <c r="O507" i="5"/>
  <c r="Q508" i="5" l="1"/>
  <c r="P508" i="5"/>
  <c r="R508" i="5" l="1"/>
  <c r="S509" i="5" s="1"/>
  <c r="O508" i="5"/>
  <c r="Q509" i="5" l="1"/>
  <c r="P509" i="5"/>
  <c r="R509" i="5" l="1"/>
  <c r="S510" i="5" s="1"/>
  <c r="O509" i="5"/>
  <c r="Q510" i="5" l="1"/>
  <c r="P510" i="5"/>
  <c r="J6" i="5"/>
  <c r="R510" i="5" l="1"/>
  <c r="S511" i="5" s="1"/>
  <c r="O510" i="5"/>
  <c r="J7" i="5"/>
  <c r="Q511" i="5" l="1"/>
  <c r="P511" i="5"/>
  <c r="J8" i="5"/>
  <c r="R511" i="5" l="1"/>
  <c r="S512" i="5" s="1"/>
  <c r="O511" i="5"/>
  <c r="J9" i="5"/>
  <c r="Q512" i="5" l="1"/>
  <c r="P512" i="5"/>
  <c r="J10" i="5"/>
  <c r="R512" i="5" l="1"/>
  <c r="S513" i="5" s="1"/>
  <c r="O512" i="5"/>
  <c r="J11" i="5"/>
  <c r="Q513" i="5" l="1"/>
  <c r="P513" i="5"/>
  <c r="J12" i="5"/>
  <c r="R513" i="5" l="1"/>
  <c r="S514" i="5" s="1"/>
  <c r="O513" i="5"/>
  <c r="J13" i="5"/>
  <c r="Q514" i="5" l="1"/>
  <c r="P514" i="5"/>
  <c r="J14" i="5"/>
  <c r="R514" i="5" l="1"/>
  <c r="S515" i="5" s="1"/>
  <c r="O514" i="5"/>
  <c r="J15" i="5"/>
  <c r="Q515" i="5" l="1"/>
  <c r="P515" i="5"/>
  <c r="J16" i="5"/>
  <c r="R515" i="5" l="1"/>
  <c r="S516" i="5" s="1"/>
  <c r="O515" i="5"/>
  <c r="J17" i="5"/>
  <c r="Q516" i="5" l="1"/>
  <c r="P516" i="5"/>
  <c r="J18" i="5"/>
  <c r="R516" i="5" l="1"/>
  <c r="S517" i="5" s="1"/>
  <c r="O516" i="5"/>
  <c r="J19" i="5"/>
  <c r="Q517" i="5" l="1"/>
  <c r="P517" i="5"/>
  <c r="J20" i="5"/>
  <c r="R517" i="5" l="1"/>
  <c r="S518" i="5" s="1"/>
  <c r="O517" i="5"/>
  <c r="J21" i="5"/>
  <c r="Q518" i="5" l="1"/>
  <c r="P518" i="5"/>
  <c r="J22" i="5"/>
  <c r="R518" i="5" l="1"/>
  <c r="S519" i="5" s="1"/>
  <c r="O518" i="5"/>
  <c r="J23" i="5"/>
  <c r="Q519" i="5" l="1"/>
  <c r="P519" i="5"/>
  <c r="J24" i="5"/>
  <c r="R519" i="5" l="1"/>
  <c r="S520" i="5" s="1"/>
  <c r="O519" i="5"/>
  <c r="J25" i="5"/>
  <c r="Q520" i="5" l="1"/>
  <c r="P520" i="5"/>
  <c r="J26" i="5"/>
  <c r="R520" i="5" l="1"/>
  <c r="S521" i="5" s="1"/>
  <c r="O520" i="5"/>
  <c r="J27" i="5"/>
  <c r="K4" i="5" s="1"/>
  <c r="D243" i="5" s="1"/>
  <c r="Q521" i="5" l="1"/>
  <c r="P521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8" i="5"/>
  <c r="D39" i="5"/>
  <c r="D37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L231" i="5" l="1"/>
  <c r="AB32" i="5" s="1"/>
  <c r="W20" i="2" s="1"/>
  <c r="W21" i="4" s="1"/>
  <c r="L207" i="5"/>
  <c r="AB30" i="5" s="1"/>
  <c r="U20" i="2" s="1"/>
  <c r="U21" i="4" s="1"/>
  <c r="L183" i="5"/>
  <c r="AB28" i="5" s="1"/>
  <c r="S20" i="2" s="1"/>
  <c r="S21" i="4" s="1"/>
  <c r="L159" i="5"/>
  <c r="AB26" i="5" s="1"/>
  <c r="Q20" i="2" s="1"/>
  <c r="Q21" i="4" s="1"/>
  <c r="L135" i="5"/>
  <c r="AB24" i="5" s="1"/>
  <c r="O20" i="2" s="1"/>
  <c r="O21" i="4" s="1"/>
  <c r="L111" i="5"/>
  <c r="AB22" i="5" s="1"/>
  <c r="M20" i="2" s="1"/>
  <c r="M21" i="4" s="1"/>
  <c r="L87" i="5"/>
  <c r="AB20" i="5" s="1"/>
  <c r="K20" i="2" s="1"/>
  <c r="K21" i="4" s="1"/>
  <c r="L63" i="5"/>
  <c r="AB18" i="5" s="1"/>
  <c r="I20" i="2" s="1"/>
  <c r="I21" i="4" s="1"/>
  <c r="L39" i="5"/>
  <c r="AB16" i="5" s="1"/>
  <c r="G20" i="2" s="1"/>
  <c r="G21" i="4" s="1"/>
  <c r="L243" i="5"/>
  <c r="AB33" i="5" s="1"/>
  <c r="X20" i="2" s="1"/>
  <c r="X21" i="4" s="1"/>
  <c r="L219" i="5"/>
  <c r="AB31" i="5" s="1"/>
  <c r="V20" i="2" s="1"/>
  <c r="V21" i="4" s="1"/>
  <c r="L195" i="5"/>
  <c r="AB29" i="5" s="1"/>
  <c r="T20" i="2" s="1"/>
  <c r="T21" i="4" s="1"/>
  <c r="L171" i="5"/>
  <c r="AB27" i="5" s="1"/>
  <c r="R20" i="2" s="1"/>
  <c r="R21" i="4" s="1"/>
  <c r="L147" i="5"/>
  <c r="AB25" i="5" s="1"/>
  <c r="P20" i="2" s="1"/>
  <c r="P21" i="4" s="1"/>
  <c r="L123" i="5"/>
  <c r="AB23" i="5" s="1"/>
  <c r="N20" i="2" s="1"/>
  <c r="N21" i="4" s="1"/>
  <c r="L99" i="5"/>
  <c r="AB21" i="5" s="1"/>
  <c r="L20" i="2" s="1"/>
  <c r="L21" i="4" s="1"/>
  <c r="L75" i="5"/>
  <c r="AB19" i="5" s="1"/>
  <c r="J20" i="2" s="1"/>
  <c r="J21" i="4" s="1"/>
  <c r="L51" i="5"/>
  <c r="AB17" i="5" s="1"/>
  <c r="H20" i="2" s="1"/>
  <c r="H21" i="4" s="1"/>
  <c r="L27" i="5"/>
  <c r="AB15" i="5" s="1"/>
  <c r="F20" i="2" s="1"/>
  <c r="F21" i="4" s="1"/>
  <c r="R521" i="5"/>
  <c r="S522" i="5" s="1"/>
  <c r="O521" i="5"/>
  <c r="L25" i="2" l="1"/>
  <c r="L26" i="4" s="1"/>
  <c r="I25" i="2"/>
  <c r="I26" i="4" s="1"/>
  <c r="N25" i="2"/>
  <c r="N26" i="4" s="1"/>
  <c r="K25" i="2"/>
  <c r="K26" i="4" s="1"/>
  <c r="P25" i="2"/>
  <c r="P26" i="4" s="1"/>
  <c r="M25" i="2"/>
  <c r="M26" i="4" s="1"/>
  <c r="R25" i="2"/>
  <c r="R26" i="4" s="1"/>
  <c r="O25" i="2"/>
  <c r="O26" i="4" s="1"/>
  <c r="T25" i="2"/>
  <c r="T26" i="4" s="1"/>
  <c r="Q25" i="2"/>
  <c r="Q26" i="4" s="1"/>
  <c r="F25" i="2"/>
  <c r="F26" i="4" s="1"/>
  <c r="V25" i="2"/>
  <c r="V26" i="4" s="1"/>
  <c r="S25" i="2"/>
  <c r="S26" i="4" s="1"/>
  <c r="H25" i="2"/>
  <c r="H26" i="4" s="1"/>
  <c r="X25" i="2"/>
  <c r="X26" i="4" s="1"/>
  <c r="U25" i="2"/>
  <c r="U26" i="4" s="1"/>
  <c r="J25" i="2"/>
  <c r="J26" i="4" s="1"/>
  <c r="G25" i="2"/>
  <c r="G26" i="4" s="1"/>
  <c r="W25" i="2"/>
  <c r="W26" i="4" s="1"/>
  <c r="Q522" i="5"/>
  <c r="P522" i="5"/>
  <c r="F27" i="2" l="1"/>
  <c r="R522" i="5"/>
  <c r="S523" i="5" s="1"/>
  <c r="O522" i="5"/>
  <c r="G27" i="2" l="1"/>
  <c r="G28" i="4" s="1"/>
  <c r="F28" i="4"/>
  <c r="F36" i="2"/>
  <c r="E32" i="2"/>
  <c r="F31" i="2"/>
  <c r="Q523" i="5"/>
  <c r="P523" i="5"/>
  <c r="H27" i="2" l="1"/>
  <c r="I27" i="2" s="1"/>
  <c r="G36" i="2"/>
  <c r="G37" i="2" s="1"/>
  <c r="F32" i="2"/>
  <c r="G31" i="2"/>
  <c r="R523" i="5"/>
  <c r="S524" i="5" s="1"/>
  <c r="O523" i="5"/>
  <c r="H36" i="2" l="1"/>
  <c r="H37" i="2" s="1"/>
  <c r="H28" i="4"/>
  <c r="G32" i="2"/>
  <c r="H31" i="2"/>
  <c r="H32" i="2"/>
  <c r="I28" i="4"/>
  <c r="J27" i="2"/>
  <c r="I31" i="2"/>
  <c r="I36" i="2"/>
  <c r="I37" i="2" s="1"/>
  <c r="Q524" i="5"/>
  <c r="P524" i="5"/>
  <c r="I32" i="2" l="1"/>
  <c r="J28" i="4"/>
  <c r="J31" i="2"/>
  <c r="K27" i="2"/>
  <c r="J36" i="2"/>
  <c r="J37" i="2" s="1"/>
  <c r="R524" i="5"/>
  <c r="S525" i="5" s="1"/>
  <c r="O524" i="5"/>
  <c r="J32" i="2" l="1"/>
  <c r="K28" i="4"/>
  <c r="K36" i="2"/>
  <c r="K37" i="2" s="1"/>
  <c r="L27" i="2"/>
  <c r="K31" i="2"/>
  <c r="Q525" i="5"/>
  <c r="P525" i="5"/>
  <c r="K32" i="2" l="1"/>
  <c r="L28" i="4"/>
  <c r="L31" i="2"/>
  <c r="L36" i="2"/>
  <c r="L37" i="2" s="1"/>
  <c r="M27" i="2"/>
  <c r="R525" i="5"/>
  <c r="S526" i="5" s="1"/>
  <c r="O525" i="5"/>
  <c r="L32" i="2" l="1"/>
  <c r="M28" i="4"/>
  <c r="M36" i="2"/>
  <c r="M37" i="2" s="1"/>
  <c r="N27" i="2"/>
  <c r="M31" i="2"/>
  <c r="Q526" i="5"/>
  <c r="P526" i="5"/>
  <c r="M32" i="2" l="1"/>
  <c r="N28" i="4"/>
  <c r="N36" i="2"/>
  <c r="N37" i="2" s="1"/>
  <c r="O27" i="2"/>
  <c r="N31" i="2"/>
  <c r="R526" i="5"/>
  <c r="S527" i="5" s="1"/>
  <c r="O526" i="5"/>
  <c r="N32" i="2" l="1"/>
  <c r="O28" i="4"/>
  <c r="O36" i="2"/>
  <c r="O37" i="2" s="1"/>
  <c r="O31" i="2"/>
  <c r="P27" i="2"/>
  <c r="Q527" i="5"/>
  <c r="P527" i="5"/>
  <c r="O32" i="2" l="1"/>
  <c r="P28" i="4"/>
  <c r="P36" i="2"/>
  <c r="P37" i="2" s="1"/>
  <c r="Q27" i="2"/>
  <c r="P31" i="2"/>
  <c r="R527" i="5"/>
  <c r="S528" i="5" s="1"/>
  <c r="O527" i="5"/>
  <c r="P32" i="2" l="1"/>
  <c r="Q28" i="4"/>
  <c r="Q36" i="2"/>
  <c r="Q37" i="2" s="1"/>
  <c r="R27" i="2"/>
  <c r="Q31" i="2"/>
  <c r="Q528" i="5"/>
  <c r="P528" i="5"/>
  <c r="Q32" i="2" l="1"/>
  <c r="R28" i="4"/>
  <c r="R36" i="2"/>
  <c r="R37" i="2" s="1"/>
  <c r="R31" i="2"/>
  <c r="S27" i="2"/>
  <c r="R528" i="5"/>
  <c r="S529" i="5" s="1"/>
  <c r="O528" i="5"/>
  <c r="R32" i="2" l="1"/>
  <c r="S28" i="4"/>
  <c r="S36" i="2"/>
  <c r="S37" i="2" s="1"/>
  <c r="S31" i="2"/>
  <c r="T27" i="2"/>
  <c r="Q529" i="5"/>
  <c r="P529" i="5"/>
  <c r="S32" i="2" l="1"/>
  <c r="T28" i="4"/>
  <c r="T36" i="2"/>
  <c r="T37" i="2" s="1"/>
  <c r="T31" i="2"/>
  <c r="U27" i="2"/>
  <c r="U28" i="4" s="1"/>
  <c r="R529" i="5"/>
  <c r="S530" i="5" s="1"/>
  <c r="O529" i="5"/>
  <c r="U36" i="2" l="1"/>
  <c r="U37" i="2" s="1"/>
  <c r="V27" i="2"/>
  <c r="U31" i="2"/>
  <c r="T32" i="2"/>
  <c r="Q530" i="5"/>
  <c r="P530" i="5"/>
  <c r="U32" i="2" l="1"/>
  <c r="V28" i="4"/>
  <c r="V36" i="2"/>
  <c r="V37" i="2" s="1"/>
  <c r="W27" i="2"/>
  <c r="V31" i="2"/>
  <c r="R530" i="5"/>
  <c r="S531" i="5" s="1"/>
  <c r="O530" i="5"/>
  <c r="V32" i="2" l="1"/>
  <c r="W28" i="4"/>
  <c r="W36" i="2"/>
  <c r="W37" i="2" s="1"/>
  <c r="W31" i="2"/>
  <c r="X27" i="2"/>
  <c r="Q531" i="5"/>
  <c r="P531" i="5"/>
  <c r="W32" i="2" l="1"/>
  <c r="X28" i="4"/>
  <c r="X36" i="2"/>
  <c r="X37" i="2" s="1"/>
  <c r="X31" i="2"/>
  <c r="Y27" i="2"/>
  <c r="R531" i="5"/>
  <c r="S532" i="5" s="1"/>
  <c r="O531" i="5"/>
  <c r="X32" i="2" l="1"/>
  <c r="Y28" i="4"/>
  <c r="Y36" i="2"/>
  <c r="Y37" i="2" s="1"/>
  <c r="Z27" i="2"/>
  <c r="Y31" i="2"/>
  <c r="Q532" i="5"/>
  <c r="P532" i="5"/>
  <c r="Y32" i="2" l="1"/>
  <c r="Z28" i="4"/>
  <c r="Z36" i="2"/>
  <c r="Z37" i="2" s="1"/>
  <c r="Z31" i="2"/>
  <c r="AA27" i="2"/>
  <c r="R532" i="5"/>
  <c r="S533" i="5" s="1"/>
  <c r="O532" i="5"/>
  <c r="Z32" i="2" l="1"/>
  <c r="AA28" i="4"/>
  <c r="AA36" i="2"/>
  <c r="AA37" i="2" s="1"/>
  <c r="AB27" i="2"/>
  <c r="AB28" i="4" s="1"/>
  <c r="AA31" i="2"/>
  <c r="Q533" i="5"/>
  <c r="P533" i="5"/>
  <c r="AA32" i="2" l="1"/>
  <c r="AB36" i="2"/>
  <c r="AB37" i="2" s="1"/>
  <c r="AB31" i="2"/>
  <c r="AC27" i="2"/>
  <c r="AC28" i="4" s="1"/>
  <c r="R533" i="5"/>
  <c r="S534" i="5" s="1"/>
  <c r="O533" i="5"/>
  <c r="AB32" i="2" l="1"/>
  <c r="AC36" i="2"/>
  <c r="AC37" i="2" s="1"/>
  <c r="AC31" i="2"/>
  <c r="AC32" i="2"/>
  <c r="Q534" i="5"/>
  <c r="P534" i="5"/>
  <c r="F21" i="1" l="1"/>
  <c r="C37" i="2" s="1"/>
  <c r="C21" i="1" s="1"/>
  <c r="E28" i="2"/>
  <c r="R534" i="5"/>
  <c r="S535" i="5" s="1"/>
  <c r="O534" i="5"/>
  <c r="E29" i="4" l="1"/>
  <c r="G39" i="2"/>
  <c r="G38" i="2"/>
  <c r="F20" i="1"/>
  <c r="Q535" i="5"/>
  <c r="P535" i="5"/>
  <c r="R535" i="5" l="1"/>
  <c r="S536" i="5" s="1"/>
  <c r="O535" i="5"/>
  <c r="Q536" i="5" l="1"/>
  <c r="P536" i="5"/>
  <c r="R536" i="5" l="1"/>
  <c r="S537" i="5" s="1"/>
  <c r="O536" i="5"/>
  <c r="Q537" i="5" l="1"/>
  <c r="P537" i="5"/>
  <c r="R537" i="5" l="1"/>
  <c r="S538" i="5" s="1"/>
  <c r="O537" i="5"/>
  <c r="Q538" i="5" l="1"/>
  <c r="P538" i="5"/>
  <c r="R538" i="5" l="1"/>
  <c r="S539" i="5" s="1"/>
  <c r="O538" i="5"/>
  <c r="Q539" i="5" l="1"/>
  <c r="P539" i="5"/>
  <c r="R539" i="5" l="1"/>
  <c r="S540" i="5" s="1"/>
  <c r="O539" i="5"/>
  <c r="Q540" i="5" l="1"/>
  <c r="P540" i="5"/>
  <c r="R540" i="5" l="1"/>
  <c r="S541" i="5" s="1"/>
  <c r="O540" i="5"/>
  <c r="Q541" i="5" l="1"/>
  <c r="P541" i="5"/>
  <c r="R541" i="5" l="1"/>
  <c r="S542" i="5" s="1"/>
  <c r="O541" i="5"/>
  <c r="Q542" i="5" l="1"/>
  <c r="P542" i="5"/>
  <c r="R542" i="5" l="1"/>
  <c r="S543" i="5" s="1"/>
  <c r="O542" i="5"/>
  <c r="Q543" i="5" l="1"/>
  <c r="P543" i="5"/>
  <c r="R543" i="5" l="1"/>
  <c r="S544" i="5" s="1"/>
  <c r="O543" i="5"/>
  <c r="Q544" i="5" l="1"/>
  <c r="P544" i="5"/>
  <c r="R544" i="5" l="1"/>
  <c r="S545" i="5" s="1"/>
  <c r="O544" i="5"/>
  <c r="Q545" i="5" l="1"/>
  <c r="P545" i="5"/>
  <c r="R545" i="5" l="1"/>
  <c r="S546" i="5" s="1"/>
  <c r="O545" i="5"/>
  <c r="Q546" i="5" l="1"/>
  <c r="P546" i="5"/>
  <c r="R546" i="5" l="1"/>
  <c r="S547" i="5" s="1"/>
  <c r="O546" i="5"/>
  <c r="Q547" i="5" l="1"/>
  <c r="P547" i="5"/>
  <c r="R547" i="5" l="1"/>
  <c r="S548" i="5" s="1"/>
  <c r="O547" i="5"/>
  <c r="Q548" i="5" l="1"/>
  <c r="P548" i="5"/>
  <c r="R548" i="5" l="1"/>
  <c r="S549" i="5" s="1"/>
  <c r="O548" i="5"/>
  <c r="Q549" i="5" l="1"/>
  <c r="P549" i="5"/>
  <c r="R549" i="5" l="1"/>
  <c r="S550" i="5" s="1"/>
  <c r="O549" i="5"/>
  <c r="Q550" i="5" l="1"/>
  <c r="P550" i="5"/>
  <c r="R550" i="5" l="1"/>
  <c r="S551" i="5" s="1"/>
  <c r="O550" i="5"/>
  <c r="Q551" i="5" l="1"/>
  <c r="P551" i="5"/>
  <c r="R551" i="5" l="1"/>
  <c r="S552" i="5" s="1"/>
  <c r="O551" i="5"/>
  <c r="Q552" i="5" l="1"/>
  <c r="P552" i="5"/>
  <c r="R552" i="5" l="1"/>
  <c r="S553" i="5" s="1"/>
  <c r="O552" i="5"/>
  <c r="Q553" i="5" l="1"/>
  <c r="P553" i="5"/>
  <c r="R553" i="5" l="1"/>
  <c r="S554" i="5" s="1"/>
  <c r="O553" i="5"/>
  <c r="Q554" i="5" l="1"/>
  <c r="P554" i="5"/>
  <c r="R554" i="5" l="1"/>
  <c r="S555" i="5" s="1"/>
  <c r="O554" i="5"/>
  <c r="Q555" i="5" l="1"/>
  <c r="P555" i="5"/>
  <c r="R555" i="5" l="1"/>
  <c r="S556" i="5" s="1"/>
  <c r="O555" i="5"/>
  <c r="Q556" i="5" l="1"/>
  <c r="P556" i="5"/>
  <c r="R556" i="5" l="1"/>
  <c r="S557" i="5" s="1"/>
  <c r="O556" i="5"/>
  <c r="Q557" i="5" l="1"/>
  <c r="P557" i="5"/>
  <c r="R557" i="5" l="1"/>
  <c r="S558" i="5" s="1"/>
  <c r="O557" i="5"/>
  <c r="Q558" i="5" l="1"/>
  <c r="P558" i="5"/>
  <c r="R558" i="5" l="1"/>
  <c r="S559" i="5" s="1"/>
  <c r="O558" i="5"/>
  <c r="Q559" i="5" l="1"/>
  <c r="P559" i="5"/>
  <c r="R559" i="5" l="1"/>
  <c r="S560" i="5" s="1"/>
  <c r="O559" i="5"/>
  <c r="Q560" i="5" l="1"/>
  <c r="P560" i="5"/>
  <c r="R560" i="5" l="1"/>
  <c r="S561" i="5" s="1"/>
  <c r="O560" i="5"/>
  <c r="Q561" i="5" l="1"/>
  <c r="P561" i="5"/>
  <c r="R561" i="5" l="1"/>
  <c r="S562" i="5" s="1"/>
  <c r="O561" i="5"/>
  <c r="Q562" i="5" l="1"/>
  <c r="P562" i="5"/>
  <c r="R562" i="5" l="1"/>
  <c r="S563" i="5" s="1"/>
  <c r="O562" i="5"/>
  <c r="Q563" i="5" l="1"/>
  <c r="P563" i="5"/>
  <c r="R563" i="5" l="1"/>
  <c r="S564" i="5" s="1"/>
  <c r="O563" i="5"/>
  <c r="Q564" i="5" l="1"/>
  <c r="P564" i="5"/>
  <c r="R564" i="5" l="1"/>
  <c r="S565" i="5" s="1"/>
  <c r="O564" i="5"/>
  <c r="Q565" i="5" l="1"/>
  <c r="P565" i="5"/>
  <c r="R565" i="5" l="1"/>
  <c r="S566" i="5" s="1"/>
  <c r="O565" i="5"/>
  <c r="Q566" i="5" l="1"/>
  <c r="P566" i="5"/>
  <c r="R566" i="5" l="1"/>
  <c r="S567" i="5" s="1"/>
  <c r="O566" i="5"/>
  <c r="Q567" i="5" l="1"/>
  <c r="P567" i="5"/>
  <c r="R567" i="5" l="1"/>
  <c r="S568" i="5" s="1"/>
  <c r="O567" i="5"/>
  <c r="Q568" i="5" l="1"/>
  <c r="P568" i="5"/>
  <c r="R568" i="5" l="1"/>
  <c r="S569" i="5" s="1"/>
  <c r="O568" i="5"/>
  <c r="Q569" i="5" l="1"/>
  <c r="P569" i="5"/>
  <c r="R569" i="5" l="1"/>
  <c r="S570" i="5" s="1"/>
  <c r="O569" i="5"/>
  <c r="Q570" i="5" l="1"/>
  <c r="P570" i="5"/>
  <c r="R570" i="5" l="1"/>
  <c r="S571" i="5" s="1"/>
  <c r="O570" i="5"/>
  <c r="Q571" i="5" l="1"/>
  <c r="P571" i="5"/>
  <c r="R571" i="5" l="1"/>
  <c r="S572" i="5" s="1"/>
  <c r="O571" i="5"/>
  <c r="Q572" i="5" l="1"/>
  <c r="P572" i="5"/>
  <c r="R572" i="5" l="1"/>
  <c r="S573" i="5" s="1"/>
  <c r="O572" i="5"/>
  <c r="Q573" i="5" l="1"/>
  <c r="P573" i="5"/>
  <c r="R573" i="5" l="1"/>
  <c r="S574" i="5" s="1"/>
  <c r="O573" i="5"/>
  <c r="Q574" i="5" l="1"/>
  <c r="P574" i="5"/>
  <c r="R574" i="5" l="1"/>
  <c r="S575" i="5" s="1"/>
  <c r="O574" i="5"/>
  <c r="Q575" i="5" l="1"/>
  <c r="P575" i="5"/>
  <c r="R575" i="5" l="1"/>
  <c r="S576" i="5" s="1"/>
  <c r="O575" i="5"/>
  <c r="Q576" i="5" l="1"/>
  <c r="P576" i="5"/>
  <c r="R576" i="5" l="1"/>
  <c r="S577" i="5" s="1"/>
  <c r="O576" i="5"/>
  <c r="Q577" i="5" l="1"/>
  <c r="P577" i="5"/>
  <c r="R577" i="5" l="1"/>
  <c r="S578" i="5" s="1"/>
  <c r="O577" i="5"/>
  <c r="Q578" i="5" l="1"/>
  <c r="P578" i="5"/>
  <c r="R578" i="5" l="1"/>
  <c r="S579" i="5" s="1"/>
  <c r="O578" i="5"/>
  <c r="Q579" i="5" l="1"/>
  <c r="P579" i="5"/>
  <c r="R579" i="5" l="1"/>
  <c r="S580" i="5" s="1"/>
  <c r="O579" i="5"/>
  <c r="Q580" i="5" l="1"/>
  <c r="P580" i="5"/>
  <c r="R580" i="5" l="1"/>
  <c r="S581" i="5" s="1"/>
  <c r="O580" i="5"/>
  <c r="Q581" i="5" l="1"/>
  <c r="P581" i="5"/>
  <c r="R581" i="5" l="1"/>
  <c r="S582" i="5" s="1"/>
  <c r="O581" i="5"/>
  <c r="Q582" i="5" l="1"/>
  <c r="P582" i="5"/>
  <c r="R582" i="5" l="1"/>
  <c r="S583" i="5" s="1"/>
  <c r="O582" i="5"/>
  <c r="Q583" i="5" l="1"/>
  <c r="P583" i="5"/>
  <c r="R583" i="5" l="1"/>
  <c r="S584" i="5" s="1"/>
  <c r="O583" i="5"/>
  <c r="Q584" i="5" l="1"/>
  <c r="P584" i="5"/>
  <c r="R584" i="5" l="1"/>
  <c r="S585" i="5" s="1"/>
  <c r="O584" i="5"/>
  <c r="Q585" i="5" l="1"/>
  <c r="P585" i="5"/>
  <c r="R585" i="5" l="1"/>
  <c r="S586" i="5" s="1"/>
  <c r="O585" i="5"/>
  <c r="Q586" i="5" l="1"/>
  <c r="P586" i="5"/>
  <c r="R586" i="5" l="1"/>
  <c r="S587" i="5" s="1"/>
  <c r="O586" i="5"/>
  <c r="Q587" i="5" l="1"/>
  <c r="P587" i="5"/>
  <c r="R587" i="5" l="1"/>
  <c r="S588" i="5" s="1"/>
  <c r="O587" i="5"/>
  <c r="Q588" i="5" l="1"/>
  <c r="P588" i="5"/>
  <c r="R588" i="5" l="1"/>
  <c r="S589" i="5" s="1"/>
  <c r="O588" i="5"/>
  <c r="Q589" i="5" l="1"/>
  <c r="P589" i="5"/>
  <c r="R589" i="5" l="1"/>
  <c r="S590" i="5" s="1"/>
  <c r="O589" i="5"/>
  <c r="Q590" i="5" l="1"/>
  <c r="P590" i="5"/>
  <c r="R590" i="5" l="1"/>
  <c r="S591" i="5" s="1"/>
  <c r="O590" i="5"/>
  <c r="Q591" i="5" l="1"/>
  <c r="P591" i="5"/>
  <c r="R591" i="5" l="1"/>
  <c r="S592" i="5" s="1"/>
  <c r="O591" i="5"/>
  <c r="Q592" i="5" l="1"/>
  <c r="P592" i="5"/>
  <c r="R592" i="5" l="1"/>
  <c r="S593" i="5" s="1"/>
  <c r="O592" i="5"/>
  <c r="Q593" i="5" l="1"/>
  <c r="P593" i="5"/>
  <c r="R593" i="5" l="1"/>
  <c r="S594" i="5" s="1"/>
  <c r="O593" i="5"/>
  <c r="Q594" i="5" l="1"/>
  <c r="P594" i="5"/>
  <c r="R594" i="5" l="1"/>
  <c r="S595" i="5" s="1"/>
  <c r="O594" i="5"/>
  <c r="Q595" i="5" l="1"/>
  <c r="P595" i="5"/>
  <c r="R595" i="5" l="1"/>
  <c r="S596" i="5" s="1"/>
  <c r="O595" i="5"/>
  <c r="Q596" i="5" l="1"/>
  <c r="P596" i="5"/>
  <c r="R596" i="5" l="1"/>
  <c r="S597" i="5" s="1"/>
  <c r="O596" i="5"/>
  <c r="Q597" i="5" l="1"/>
  <c r="P597" i="5"/>
  <c r="R597" i="5" l="1"/>
  <c r="S598" i="5" s="1"/>
  <c r="O597" i="5"/>
  <c r="Q598" i="5" l="1"/>
  <c r="P598" i="5"/>
  <c r="R598" i="5" l="1"/>
  <c r="S599" i="5" s="1"/>
  <c r="O598" i="5"/>
  <c r="Q599" i="5" l="1"/>
  <c r="P599" i="5"/>
  <c r="R599" i="5" l="1"/>
  <c r="S600" i="5" s="1"/>
  <c r="O599" i="5"/>
  <c r="Q600" i="5" l="1"/>
  <c r="P600" i="5"/>
  <c r="R600" i="5" l="1"/>
  <c r="S601" i="5" s="1"/>
  <c r="O600" i="5"/>
  <c r="Q601" i="5" l="1"/>
  <c r="P601" i="5"/>
  <c r="R601" i="5" l="1"/>
  <c r="S602" i="5" s="1"/>
  <c r="O601" i="5"/>
  <c r="Q602" i="5" l="1"/>
  <c r="P602" i="5"/>
  <c r="R602" i="5" l="1"/>
  <c r="S603" i="5" s="1"/>
  <c r="O602" i="5"/>
  <c r="Q603" i="5" l="1"/>
  <c r="P603" i="5"/>
  <c r="R603" i="5" l="1"/>
  <c r="O60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<sst xmlns="http://schemas.openxmlformats.org/spreadsheetml/2006/main" count="469" uniqueCount="244">
  <si>
    <t>Analizuojamas renovacijos paketas</t>
  </si>
  <si>
    <t>Alternatyva Nr. 1: Remontuoti (paprastas remontas)</t>
  </si>
  <si>
    <t>Metai</t>
  </si>
  <si>
    <t>piniginiai srautai Iš viso (diskontuotai):</t>
  </si>
  <si>
    <t>piniginiai srautai iš viso akumuliuotai (diskontuoti):</t>
  </si>
  <si>
    <t>Renovacijos darbų kaina</t>
  </si>
  <si>
    <t>Subsidija</t>
  </si>
  <si>
    <t>Paskolos suma</t>
  </si>
  <si>
    <t>Alternatyva Nr. 2: Atnaujinti modernizuojant (renovuoti)</t>
  </si>
  <si>
    <t>Techninė priežiūra</t>
  </si>
  <si>
    <t>Paskolos piniginiai srautai Iš viso (diskontuotai):</t>
  </si>
  <si>
    <t>Kiti piniginiai srautai Iš viso (diskontuotai):</t>
  </si>
  <si>
    <t>Atsipirkimas</t>
  </si>
  <si>
    <t>DAUGIABUČIO NAMO DUOMENYS</t>
  </si>
  <si>
    <t>1. Bendri daugiabučio namo duomenys</t>
  </si>
  <si>
    <t>2. Daugiabučio namo energetiniai parametrai</t>
  </si>
  <si>
    <t>Savivaldybė, kurioje pastatytas daugiabutis</t>
  </si>
  <si>
    <t>Vilniaus m.</t>
  </si>
  <si>
    <t>Vilnius</t>
  </si>
  <si>
    <t>1 kWh šilumos kaina, EUR su PVM</t>
  </si>
  <si>
    <t>Suvartojimas,  1 m² butų ir kitų patalpų naudingam plotui</t>
  </si>
  <si>
    <t>Vidutinė kambarių temperatūra šildymo sezono metu, °C</t>
  </si>
  <si>
    <t>Planuojama kambarių temperatūra šildymo sezono metu, °C</t>
  </si>
  <si>
    <t>(nuoroda)</t>
  </si>
  <si>
    <t>3. Daugiabučio modernizavimo (atnaujinimo) paskolos parametrai</t>
  </si>
  <si>
    <t>Paskolos trukmė</t>
  </si>
  <si>
    <t>Sutaupymas</t>
  </si>
  <si>
    <t>Atidėjimas</t>
  </si>
  <si>
    <t>Renovacijų investicijos</t>
  </si>
  <si>
    <t>Remonto kaupimas</t>
  </si>
  <si>
    <t>Modernizavimo investicijų vertė, EUR/m²</t>
  </si>
  <si>
    <t>Subsidijos dydis, %</t>
  </si>
  <si>
    <t>Planuojamas energijos sutaupymas, %</t>
  </si>
  <si>
    <t>Temperatūra</t>
  </si>
  <si>
    <t>Kaupiamojo remonto įmokos dalis</t>
  </si>
  <si>
    <t>Vertnimo trukmė, metais</t>
  </si>
  <si>
    <t>Dienolaipsnių lentelė (Šaltinis ena.lt bei savivaldybių įsakymai dėl šildymo sezono pradžios ir pabaigos)</t>
  </si>
  <si>
    <t>Miestas (stotis)</t>
  </si>
  <si>
    <t>Pradžia</t>
  </si>
  <si>
    <t>Pabaiga</t>
  </si>
  <si>
    <t>Šildymo sezono trukmė</t>
  </si>
  <si>
    <t>Vidutinė temperatūra</t>
  </si>
  <si>
    <t>BIRŽAI</t>
  </si>
  <si>
    <t>DOTNUVA</t>
  </si>
  <si>
    <t>DŪKŠTAS</t>
  </si>
  <si>
    <t>KAUNAS</t>
  </si>
  <si>
    <t>KYBARTAI</t>
  </si>
  <si>
    <t>KLAIPĖDA</t>
  </si>
  <si>
    <t>LAUKUVA</t>
  </si>
  <si>
    <t>LAZDIJAI</t>
  </si>
  <si>
    <t>NIDA</t>
  </si>
  <si>
    <t>PANEVĖŽYS</t>
  </si>
  <si>
    <t>RASEINIAI</t>
  </si>
  <si>
    <t>ŠIAULIAI</t>
  </si>
  <si>
    <t>ŠILUTĖ</t>
  </si>
  <si>
    <t>TELŠIAI</t>
  </si>
  <si>
    <t>UKMERGĖ</t>
  </si>
  <si>
    <t>UTENA</t>
  </si>
  <si>
    <t>VARĖNA</t>
  </si>
  <si>
    <t>VILNIUS</t>
  </si>
  <si>
    <t>Eil. Nr.</t>
  </si>
  <si>
    <t>Savivaldybė</t>
  </si>
  <si>
    <t>Apskritis (regionas)</t>
  </si>
  <si>
    <t>Lokacija turto vertei</t>
  </si>
  <si>
    <t>1.</t>
  </si>
  <si>
    <t>Akmenės r.</t>
  </si>
  <si>
    <t>Šiaulių</t>
  </si>
  <si>
    <t>Kiti miestai</t>
  </si>
  <si>
    <t>2.</t>
  </si>
  <si>
    <t>Alytaus m.</t>
  </si>
  <si>
    <t>Alytaus</t>
  </si>
  <si>
    <t>3.</t>
  </si>
  <si>
    <t>Alytaus r.</t>
  </si>
  <si>
    <t>4.</t>
  </si>
  <si>
    <t>Anykščių r.</t>
  </si>
  <si>
    <t>Utenos</t>
  </si>
  <si>
    <t>5.</t>
  </si>
  <si>
    <t>Birštono</t>
  </si>
  <si>
    <t>Kauno</t>
  </si>
  <si>
    <t>6.</t>
  </si>
  <si>
    <t>Biržų r.</t>
  </si>
  <si>
    <t>Panevėžio</t>
  </si>
  <si>
    <t>7.</t>
  </si>
  <si>
    <t>Druskininkų</t>
  </si>
  <si>
    <t>8.</t>
  </si>
  <si>
    <t>Elektrėnų</t>
  </si>
  <si>
    <t>Vilniaus</t>
  </si>
  <si>
    <t>9.</t>
  </si>
  <si>
    <t>Ignalinos r.</t>
  </si>
  <si>
    <t>10.</t>
  </si>
  <si>
    <t>Jonavos r.</t>
  </si>
  <si>
    <t>11.</t>
  </si>
  <si>
    <t>Joniškio r.</t>
  </si>
  <si>
    <t>12.</t>
  </si>
  <si>
    <t>Jurbarko r.</t>
  </si>
  <si>
    <t>Tauragės</t>
  </si>
  <si>
    <t>13.</t>
  </si>
  <si>
    <t>Kaišiadorių r.</t>
  </si>
  <si>
    <t>14.</t>
  </si>
  <si>
    <t>Kalvarijos</t>
  </si>
  <si>
    <t>Marijampolės</t>
  </si>
  <si>
    <t>15.</t>
  </si>
  <si>
    <t>Kauno m.</t>
  </si>
  <si>
    <t>Kaunas</t>
  </si>
  <si>
    <t>16.</t>
  </si>
  <si>
    <t>Kauno r.</t>
  </si>
  <si>
    <t>17.</t>
  </si>
  <si>
    <t>Kazlų Rūdos</t>
  </si>
  <si>
    <t>18.</t>
  </si>
  <si>
    <t>Kelmės r.</t>
  </si>
  <si>
    <t>19.</t>
  </si>
  <si>
    <t>Kėdainių r.</t>
  </si>
  <si>
    <t>20.</t>
  </si>
  <si>
    <t>Klaipėdos m.</t>
  </si>
  <si>
    <t>Klaipėdos</t>
  </si>
  <si>
    <t>Klaipėda</t>
  </si>
  <si>
    <t>21.</t>
  </si>
  <si>
    <t>Klaipėdos r.</t>
  </si>
  <si>
    <t>22.</t>
  </si>
  <si>
    <t>Kretingos r.</t>
  </si>
  <si>
    <t>23.</t>
  </si>
  <si>
    <t>Kupiškio r.</t>
  </si>
  <si>
    <t>24.</t>
  </si>
  <si>
    <t>Lazdijų r.</t>
  </si>
  <si>
    <t>25.</t>
  </si>
  <si>
    <t>26.</t>
  </si>
  <si>
    <t>Mažeikių r.</t>
  </si>
  <si>
    <t>Telšių</t>
  </si>
  <si>
    <t>27.</t>
  </si>
  <si>
    <t>Molėtų r.</t>
  </si>
  <si>
    <t>28.</t>
  </si>
  <si>
    <t>Neringos</t>
  </si>
  <si>
    <t>29.</t>
  </si>
  <si>
    <t>Pagėgių</t>
  </si>
  <si>
    <t>30.</t>
  </si>
  <si>
    <t>Pakruojo r.</t>
  </si>
  <si>
    <t>31.</t>
  </si>
  <si>
    <t>Palangos m.</t>
  </si>
  <si>
    <t>32.</t>
  </si>
  <si>
    <t>Panevėžio m.</t>
  </si>
  <si>
    <t>33.</t>
  </si>
  <si>
    <t>Panevėžio r.</t>
  </si>
  <si>
    <t>34.</t>
  </si>
  <si>
    <t>Pasvalio r.</t>
  </si>
  <si>
    <t>35.</t>
  </si>
  <si>
    <t>Plungės r.</t>
  </si>
  <si>
    <t>36.</t>
  </si>
  <si>
    <t>Prienų r.</t>
  </si>
  <si>
    <t>37.</t>
  </si>
  <si>
    <t>Radviliškio r.</t>
  </si>
  <si>
    <t>38.</t>
  </si>
  <si>
    <t>Raseinių r.</t>
  </si>
  <si>
    <t>39.</t>
  </si>
  <si>
    <t>Rietavo</t>
  </si>
  <si>
    <t>40.</t>
  </si>
  <si>
    <t>Rokiškio r.</t>
  </si>
  <si>
    <t>41.</t>
  </si>
  <si>
    <t>Skuodo r.</t>
  </si>
  <si>
    <t>42.</t>
  </si>
  <si>
    <t>Šakių r.</t>
  </si>
  <si>
    <t>43.</t>
  </si>
  <si>
    <t>Šalčininkų r.</t>
  </si>
  <si>
    <t>44.</t>
  </si>
  <si>
    <t>Šiaulių m.</t>
  </si>
  <si>
    <t>45.</t>
  </si>
  <si>
    <t>Šiaulių r.</t>
  </si>
  <si>
    <t>46.</t>
  </si>
  <si>
    <t>Šilalės r.</t>
  </si>
  <si>
    <t>47.</t>
  </si>
  <si>
    <t>Šilutės r.</t>
  </si>
  <si>
    <t>48.</t>
  </si>
  <si>
    <t>Širvintų r.</t>
  </si>
  <si>
    <t>49.</t>
  </si>
  <si>
    <t>Švenčionių r.</t>
  </si>
  <si>
    <t>50.</t>
  </si>
  <si>
    <t>Tauragės r.</t>
  </si>
  <si>
    <t>51.</t>
  </si>
  <si>
    <t>Telšių r.</t>
  </si>
  <si>
    <t>52.</t>
  </si>
  <si>
    <t>Trakų r.</t>
  </si>
  <si>
    <t>53.</t>
  </si>
  <si>
    <t>Ukmergės r.</t>
  </si>
  <si>
    <t>54.</t>
  </si>
  <si>
    <t>Utenos r.</t>
  </si>
  <si>
    <t>55.</t>
  </si>
  <si>
    <t>Varėnos r.</t>
  </si>
  <si>
    <t>56.</t>
  </si>
  <si>
    <t>Vilkaviškio r.</t>
  </si>
  <si>
    <t>57.</t>
  </si>
  <si>
    <t>58.</t>
  </si>
  <si>
    <t>Vilniaus r.</t>
  </si>
  <si>
    <t>59.</t>
  </si>
  <si>
    <t>Visagino m.</t>
  </si>
  <si>
    <t>60.</t>
  </si>
  <si>
    <t>Zarasų r.</t>
  </si>
  <si>
    <t>Lokacija</t>
  </si>
  <si>
    <t>Bazinis vertės padidėjimas</t>
  </si>
  <si>
    <t>Vertės padidėjimas</t>
  </si>
  <si>
    <t>vietovės pataisa</t>
  </si>
  <si>
    <t>Kaupimo tarifas</t>
  </si>
  <si>
    <t>Pagalbiniai atsipirkimo skaičiavimai</t>
  </si>
  <si>
    <t>Diskonto norma</t>
  </si>
  <si>
    <t>x</t>
  </si>
  <si>
    <t>y</t>
  </si>
  <si>
    <t>Modernizavimo alternatyvos atsipirkimas, metais</t>
  </si>
  <si>
    <t>Minimali mėnesinė alga (MMA)</t>
  </si>
  <si>
    <t>Įvesta reikšmė</t>
  </si>
  <si>
    <t>Skaičiavimams</t>
  </si>
  <si>
    <t>Maksimali kaupimo įmoka</t>
  </si>
  <si>
    <t>Maksimali kaupiamoji remonto įmoka, EUR/m² per metus</t>
  </si>
  <si>
    <t>Projekto įgyvendinimas ir paskolos atidėjimas (mėnesiai)</t>
  </si>
  <si>
    <t>Alternatyva: Remontuoti (diskontuotos suminės išlaidos)</t>
  </si>
  <si>
    <t>Alternatyva: Modernizuoti (diskontuotos suminės išlaidos)</t>
  </si>
  <si>
    <t>4. Modernizavimo alternatyvos atsipirkimo vertinimas</t>
  </si>
  <si>
    <t>Modernizavimo ir paprastojo remonto alternatyvų išlaidų bei atsipirkimo grafikas</t>
  </si>
  <si>
    <t>Kaupimo remonto įmoka, EUR/m² per metus</t>
  </si>
  <si>
    <t>Energijos išlaidos (prieš modernizavimą), EUR/m² per metus</t>
  </si>
  <si>
    <t>Kaupimas nenumatytiems privalomiesiems darbams, EUR/m² per metus</t>
  </si>
  <si>
    <t>Mokėjimai finansų institucijai, EUR/m² per metus</t>
  </si>
  <si>
    <t>NT objekto vertės padidėjimas, EUR/m² per metus</t>
  </si>
  <si>
    <t>Papildomos energijos išlaidos komfortui, EUR/m² per metus</t>
  </si>
  <si>
    <t>Energijos išlaidos po, EUR/m² per metus</t>
  </si>
  <si>
    <t>ALTERNATYVŲ PALYGINIMAS</t>
  </si>
  <si>
    <t>Modernizavimo ir paprastojo remonto alternatyvų išlaidų pinigų srautų lentelė</t>
  </si>
  <si>
    <t>Daugiabučio buto plotas, m²</t>
  </si>
  <si>
    <t>Daugiabučio buto unikalus Nr.</t>
  </si>
  <si>
    <t>Daugiabučio buto vertė, EUR</t>
  </si>
  <si>
    <t>Linijinis</t>
  </si>
  <si>
    <t>Anuiteto</t>
  </si>
  <si>
    <t>Mokėjimo numeris</t>
  </si>
  <si>
    <t>Mokėjimas (Eur.)</t>
  </si>
  <si>
    <t>Palūkanos (Eur.)</t>
  </si>
  <si>
    <t>Paskola (Eur.)</t>
  </si>
  <si>
    <t>Paskolos likutis (Eur.)</t>
  </si>
  <si>
    <t>Palūkanos (2)</t>
  </si>
  <si>
    <t>Palūkanų (2) vienas mokėjimas</t>
  </si>
  <si>
    <t>Įmoka per metus</t>
  </si>
  <si>
    <t>Mokėjimas po atidėjimo</t>
  </si>
  <si>
    <t>Atidėjimas II</t>
  </si>
  <si>
    <t>PGBūdas</t>
  </si>
  <si>
    <t>Rinkos palūkanų norma</t>
  </si>
  <si>
    <t>Anuiteto įmokos dydis</t>
  </si>
  <si>
    <t>Paskolos grąžinimo grafikas</t>
  </si>
  <si>
    <t>0000-0000-0000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</si>
</sst>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164" formatCode="_-* #,##0.00\ [$€-427]_-;\-* #,##0.00\ [$€-427]_-;_-* &quot;-&quot;??\ [$€-427]_-;_-@_-"/>
    <numFmt numFmtId="165" formatCode="#,##0.000\ &quot;€&quot;"/>
    <numFmt numFmtId="166" formatCode="_-* #,##0\ [$€-427]_-;\-* #,##0\ [$€-427]_-;_-* &quot;-&quot;??\ [$€-427]_-;_-@_-"/>
    <numFmt numFmtId="167" formatCode="0.0%"/>
    <numFmt numFmtId="168" formatCode="0.0"/>
    <numFmt numFmtId="169" formatCode="#,##0.00\ &quot;€&quot;"/>
    <numFmt numFmtId="170" formatCode="[$EUR]\ #,##0.00"/>
    <numFmt numFmtId="171" formatCode="[$EUR]\ #,##0.00;[Red]\-[$EUR]\ #,##0.00"/>
  </numFmts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rgb="FF00B05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sz val="11"/>
      <name val="Calibri Light"/>
      <family val="2"/>
      <scheme val="major"/>
    </font>
    <font>
      <b/>
      <sz val="18"/>
      <color theme="0"/>
      <name val="Calibri Light"/>
      <family val="2"/>
    </font>
    <font>
      <b/>
      <sz val="11"/>
      <color theme="0"/>
      <name val="Calibri Light"/>
      <family val="2"/>
      <scheme val="major"/>
    </font>
    <font>
      <u/>
      <sz val="11"/>
      <color theme="10"/>
      <name val="Calibri"/>
      <family val="2"/>
      <charset val="186"/>
      <scheme val="minor"/>
    </font>
    <font>
      <b/>
      <sz val="18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79BC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03D7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rgb="FF79BC43"/>
      </left>
      <right/>
      <top style="thin">
        <color rgb="FF79BC43"/>
      </top>
      <bottom/>
      <diagonal/>
    </border>
    <border>
      <left/>
      <right/>
      <top style="thin">
        <color rgb="FF79BC43"/>
      </top>
      <bottom/>
      <diagonal/>
    </border>
    <border>
      <left/>
      <right style="thin">
        <color rgb="FF79BC43"/>
      </right>
      <top style="thin">
        <color rgb="FF79BC43"/>
      </top>
      <bottom/>
      <diagonal/>
    </border>
    <border>
      <left style="thin">
        <color rgb="FF79BC43"/>
      </left>
      <right/>
      <top/>
      <bottom/>
      <diagonal/>
    </border>
    <border>
      <left/>
      <right style="thin">
        <color rgb="FF79BC43"/>
      </right>
      <top/>
      <bottom/>
      <diagonal/>
    </border>
    <border>
      <left style="thin">
        <color rgb="FF79BC43"/>
      </left>
      <right style="thin">
        <color rgb="FF79BC43"/>
      </right>
      <top style="thin">
        <color rgb="FF79BC43"/>
      </top>
      <bottom style="thin">
        <color rgb="FF79BC43"/>
      </bottom>
      <diagonal/>
    </border>
    <border>
      <left style="thin">
        <color rgb="FF79BC43"/>
      </left>
      <right/>
      <top style="thin">
        <color rgb="FF79BC43"/>
      </top>
      <bottom style="thin">
        <color rgb="FF79BC43"/>
      </bottom>
      <diagonal/>
    </border>
    <border>
      <left/>
      <right style="thin">
        <color rgb="FF79BC43"/>
      </right>
      <top style="thin">
        <color rgb="FF79BC43"/>
      </top>
      <bottom style="thin">
        <color rgb="FF79BC43"/>
      </bottom>
      <diagonal/>
    </border>
    <border>
      <left style="thin">
        <color rgb="FF79BC43"/>
      </left>
      <right/>
      <top/>
      <bottom style="thin">
        <color rgb="FF79BC43"/>
      </bottom>
      <diagonal/>
    </border>
    <border>
      <left/>
      <right/>
      <top/>
      <bottom style="thin">
        <color rgb="FF79BC43"/>
      </bottom>
      <diagonal/>
    </border>
    <border>
      <left/>
      <right style="thin">
        <color rgb="FF79BC43"/>
      </right>
      <top/>
      <bottom style="thin">
        <color rgb="FF79BC43"/>
      </bottom>
      <diagonal/>
    </border>
    <border>
      <left style="thin">
        <color rgb="FF203D7C"/>
      </left>
      <right/>
      <top style="thin">
        <color rgb="FF203D7C"/>
      </top>
      <bottom/>
      <diagonal/>
    </border>
    <border>
      <left/>
      <right/>
      <top style="thin">
        <color rgb="FF203D7C"/>
      </top>
      <bottom/>
      <diagonal/>
    </border>
    <border>
      <left/>
      <right style="thin">
        <color rgb="FF203D7C"/>
      </right>
      <top style="thin">
        <color rgb="FF203D7C"/>
      </top>
      <bottom/>
      <diagonal/>
    </border>
    <border>
      <left style="thin">
        <color rgb="FF203D7C"/>
      </left>
      <right/>
      <top/>
      <bottom style="thin">
        <color rgb="FF203D7C"/>
      </bottom>
      <diagonal/>
    </border>
    <border>
      <left/>
      <right/>
      <top/>
      <bottom style="thin">
        <color rgb="FF203D7C"/>
      </bottom>
      <diagonal/>
    </border>
    <border>
      <left/>
      <right style="thin">
        <color rgb="FF203D7C"/>
      </right>
      <top/>
      <bottom style="thin">
        <color rgb="FF203D7C"/>
      </bottom>
      <diagonal/>
    </border>
    <border>
      <left style="thin">
        <color rgb="FF203D7C"/>
      </left>
      <right/>
      <top style="thin">
        <color rgb="FF203D7C"/>
      </top>
      <bottom style="thin">
        <color rgb="FF203D7C"/>
      </bottom>
      <diagonal/>
    </border>
    <border>
      <left/>
      <right/>
      <top style="thin">
        <color rgb="FF203D7C"/>
      </top>
      <bottom style="thin">
        <color rgb="FF203D7C"/>
      </bottom>
      <diagonal/>
    </border>
    <border>
      <left/>
      <right style="thin">
        <color rgb="FF203D7C"/>
      </right>
      <top style="thin">
        <color rgb="FF203D7C"/>
      </top>
      <bottom style="thin">
        <color rgb="FF203D7C"/>
      </bottom>
      <diagonal/>
    </border>
    <border>
      <left style="thin">
        <color rgb="FF203D7C"/>
      </left>
      <right/>
      <top/>
      <bottom/>
      <diagonal/>
    </border>
    <border>
      <left/>
      <right style="thin">
        <color rgb="FF203D7C"/>
      </right>
      <top/>
      <bottom/>
      <diagonal/>
    </border>
    <border>
      <left style="thin">
        <color rgb="FF203D7C"/>
      </left>
      <right style="thin">
        <color rgb="FF203D7C"/>
      </right>
      <top/>
      <bottom/>
      <diagonal/>
    </border>
    <border>
      <left style="thin">
        <color rgb="FF203D7C"/>
      </left>
      <right style="thin">
        <color rgb="FF203D7C"/>
      </right>
      <top style="thin">
        <color rgb="FF203D7C"/>
      </top>
      <bottom style="thin">
        <color rgb="FF203D7C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2" fillId="2" borderId="1" xfId="2" applyFont="1" applyFill="1" applyBorder="1" applyAlignment="1">
      <alignment vertical="center"/>
    </xf>
    <xf numFmtId="0" fontId="3" fillId="2" borderId="2" xfId="3" applyFont="1" applyFill="1" applyBorder="1"/>
    <xf numFmtId="0" fontId="4" fillId="2" borderId="2" xfId="3" applyFont="1" applyFill="1" applyBorder="1"/>
    <xf numFmtId="0" fontId="3" fillId="2" borderId="3" xfId="3" applyFont="1" applyFill="1" applyBorder="1"/>
    <xf numFmtId="0" fontId="3" fillId="3" borderId="4" xfId="0" applyFont="1" applyFill="1" applyBorder="1"/>
    <xf numFmtId="0" fontId="4" fillId="3" borderId="0" xfId="0" applyFont="1" applyFill="1"/>
    <xf numFmtId="0" fontId="3" fillId="3" borderId="0" xfId="0" applyFont="1" applyFill="1"/>
    <xf numFmtId="0" fontId="3" fillId="3" borderId="5" xfId="0" applyFont="1" applyFill="1" applyBorder="1"/>
    <xf numFmtId="0" fontId="4" fillId="2" borderId="0" xfId="0" applyFont="1" applyFill="1" applyAlignment="1">
      <alignment horizontal="center" vertical="center"/>
    </xf>
    <xf numFmtId="164" fontId="3" fillId="0" borderId="6" xfId="0" applyNumberFormat="1" applyFont="1" applyBorder="1"/>
    <xf numFmtId="0" fontId="5" fillId="3" borderId="4" xfId="0" applyFont="1" applyFill="1" applyBorder="1"/>
    <xf numFmtId="0" fontId="4" fillId="3" borderId="0" xfId="0" applyFont="1" applyFill="1" applyAlignment="1">
      <alignment horizontal="right"/>
    </xf>
    <xf numFmtId="4" fontId="3" fillId="0" borderId="6" xfId="0" applyNumberFormat="1" applyFont="1" applyBorder="1"/>
    <xf numFmtId="8" fontId="3" fillId="3" borderId="0" xfId="0" applyNumberFormat="1" applyFont="1" applyFill="1"/>
    <xf numFmtId="0" fontId="6" fillId="3" borderId="4" xfId="0" applyFont="1" applyFill="1" applyBorder="1"/>
    <xf numFmtId="0" fontId="7" fillId="3" borderId="4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1" fillId="0" borderId="0" xfId="2"/>
    <xf numFmtId="0" fontId="1" fillId="4" borderId="12" xfId="2" applyFill="1" applyBorder="1"/>
    <xf numFmtId="0" fontId="8" fillId="4" borderId="13" xfId="2" applyFont="1" applyFill="1" applyBorder="1" applyAlignment="1">
      <alignment vertical="center"/>
    </xf>
    <xf numFmtId="0" fontId="1" fillId="4" borderId="13" xfId="2" applyFill="1" applyBorder="1"/>
    <xf numFmtId="0" fontId="1" fillId="4" borderId="14" xfId="2" applyFill="1" applyBorder="1"/>
    <xf numFmtId="0" fontId="1" fillId="4" borderId="15" xfId="2" applyFill="1" applyBorder="1"/>
    <xf numFmtId="0" fontId="8" fillId="4" borderId="16" xfId="2" applyFont="1" applyFill="1" applyBorder="1" applyAlignment="1">
      <alignment vertical="center"/>
    </xf>
    <xf numFmtId="0" fontId="1" fillId="4" borderId="16" xfId="2" applyFill="1" applyBorder="1"/>
    <xf numFmtId="0" fontId="1" fillId="4" borderId="17" xfId="2" applyFill="1" applyBorder="1"/>
    <xf numFmtId="0" fontId="8" fillId="0" borderId="0" xfId="2" applyFont="1" applyAlignment="1">
      <alignment horizontal="left" vertical="center"/>
    </xf>
    <xf numFmtId="0" fontId="9" fillId="4" borderId="18" xfId="2" applyFont="1" applyFill="1" applyBorder="1" applyAlignment="1">
      <alignment horizontal="left" indent="1"/>
    </xf>
    <xf numFmtId="0" fontId="9" fillId="4" borderId="18" xfId="2" applyFont="1" applyFill="1" applyBorder="1" applyAlignment="1">
      <alignment vertical="top" wrapText="1"/>
    </xf>
    <xf numFmtId="0" fontId="9" fillId="4" borderId="19" xfId="2" applyFont="1" applyFill="1" applyBorder="1" applyAlignment="1">
      <alignment vertical="top" wrapText="1"/>
    </xf>
    <xf numFmtId="0" fontId="9" fillId="4" borderId="20" xfId="2" applyFont="1" applyFill="1" applyBorder="1" applyAlignment="1">
      <alignment vertical="top" wrapText="1"/>
    </xf>
    <xf numFmtId="0" fontId="9" fillId="5" borderId="12" xfId="2" applyFont="1" applyFill="1" applyBorder="1"/>
    <xf numFmtId="0" fontId="9" fillId="5" borderId="13" xfId="2" applyFont="1" applyFill="1" applyBorder="1" applyAlignment="1">
      <alignment vertical="top" wrapText="1"/>
    </xf>
    <xf numFmtId="0" fontId="9" fillId="5" borderId="19" xfId="2" applyFont="1" applyFill="1" applyBorder="1" applyAlignment="1">
      <alignment vertical="top" wrapText="1"/>
    </xf>
    <xf numFmtId="0" fontId="9" fillId="5" borderId="14" xfId="2" applyFont="1" applyFill="1" applyBorder="1" applyAlignment="1">
      <alignment vertical="top" wrapText="1"/>
    </xf>
    <xf numFmtId="0" fontId="3" fillId="5" borderId="21" xfId="2" applyFont="1" applyFill="1" applyBorder="1"/>
    <xf numFmtId="0" fontId="3" fillId="5" borderId="0" xfId="2" applyFont="1" applyFill="1"/>
    <xf numFmtId="0" fontId="3" fillId="5" borderId="22" xfId="2" applyFont="1" applyFill="1" applyBorder="1"/>
    <xf numFmtId="0" fontId="3" fillId="5" borderId="23" xfId="2" applyFont="1" applyFill="1" applyBorder="1"/>
    <xf numFmtId="0" fontId="3" fillId="0" borderId="0" xfId="2" applyFont="1"/>
    <xf numFmtId="0" fontId="1" fillId="5" borderId="21" xfId="2" applyFill="1" applyBorder="1"/>
    <xf numFmtId="0" fontId="7" fillId="5" borderId="0" xfId="2" applyFont="1" applyFill="1"/>
    <xf numFmtId="0" fontId="7" fillId="5" borderId="22" xfId="2" applyFont="1" applyFill="1" applyBorder="1"/>
    <xf numFmtId="0" fontId="3" fillId="5" borderId="21" xfId="0" applyFont="1" applyFill="1" applyBorder="1"/>
    <xf numFmtId="0" fontId="1" fillId="5" borderId="15" xfId="2" applyFill="1" applyBorder="1"/>
    <xf numFmtId="0" fontId="0" fillId="5" borderId="16" xfId="0" applyFill="1" applyBorder="1"/>
    <xf numFmtId="0" fontId="3" fillId="5" borderId="17" xfId="2" applyFont="1" applyFill="1" applyBorder="1"/>
    <xf numFmtId="0" fontId="3" fillId="5" borderId="22" xfId="0" applyFont="1" applyFill="1" applyBorder="1"/>
    <xf numFmtId="0" fontId="3" fillId="5" borderId="15" xfId="2" applyFont="1" applyFill="1" applyBorder="1"/>
    <xf numFmtId="0" fontId="3" fillId="5" borderId="16" xfId="0" applyFont="1" applyFill="1" applyBorder="1"/>
    <xf numFmtId="0" fontId="3" fillId="5" borderId="0" xfId="0" applyFont="1" applyFill="1"/>
    <xf numFmtId="0" fontId="0" fillId="5" borderId="0" xfId="0" applyFill="1"/>
    <xf numFmtId="0" fontId="0" fillId="5" borderId="22" xfId="0" applyFill="1" applyBorder="1"/>
    <xf numFmtId="0" fontId="0" fillId="5" borderId="17" xfId="0" applyFill="1" applyBorder="1"/>
    <xf numFmtId="0" fontId="9" fillId="4" borderId="24" xfId="2" applyFont="1" applyFill="1" applyBorder="1" applyAlignment="1">
      <alignment horizontal="left" indent="1"/>
    </xf>
    <xf numFmtId="9" fontId="0" fillId="0" borderId="0" xfId="0" applyNumberFormat="1"/>
    <xf numFmtId="3" fontId="3" fillId="0" borderId="6" xfId="0" applyNumberFormat="1" applyFont="1" applyBorder="1"/>
    <xf numFmtId="0" fontId="12" fillId="0" borderId="0" xfId="0" applyFont="1"/>
    <xf numFmtId="14" fontId="0" fillId="0" borderId="0" xfId="0" applyNumberFormat="1"/>
    <xf numFmtId="2" fontId="0" fillId="0" borderId="0" xfId="0" applyNumberFormat="1"/>
    <xf numFmtId="0" fontId="13" fillId="6" borderId="25" xfId="0" applyFont="1" applyFill="1" applyBorder="1"/>
    <xf numFmtId="0" fontId="0" fillId="0" borderId="26" xfId="0" applyBorder="1"/>
    <xf numFmtId="0" fontId="0" fillId="0" borderId="26" xfId="0" applyBorder="1" applyAlignment="1">
      <alignment horizontal="center" vertical="center"/>
    </xf>
    <xf numFmtId="0" fontId="0" fillId="0" borderId="28" xfId="0" applyBorder="1"/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0" fillId="0" borderId="32" xfId="0" applyBorder="1"/>
    <xf numFmtId="0" fontId="0" fillId="0" borderId="33" xfId="0" applyBorder="1" applyAlignment="1">
      <alignment horizontal="center" vertical="center"/>
    </xf>
    <xf numFmtId="167" fontId="0" fillId="0" borderId="0" xfId="1" applyNumberFormat="1" applyFont="1"/>
    <xf numFmtId="10" fontId="0" fillId="0" borderId="27" xfId="1" applyNumberFormat="1" applyFont="1" applyBorder="1" applyAlignment="1">
      <alignment horizontal="center"/>
    </xf>
    <xf numFmtId="10" fontId="0" fillId="0" borderId="0" xfId="0" applyNumberFormat="1"/>
    <xf numFmtId="0" fontId="4" fillId="7" borderId="0" xfId="0" applyFont="1" applyFill="1"/>
    <xf numFmtId="0" fontId="0" fillId="5" borderId="21" xfId="0" applyFill="1" applyBorder="1"/>
    <xf numFmtId="2" fontId="0" fillId="5" borderId="0" xfId="0" applyNumberFormat="1" applyFill="1"/>
    <xf numFmtId="0" fontId="0" fillId="5" borderId="15" xfId="0" applyFill="1" applyBorder="1"/>
    <xf numFmtId="10" fontId="0" fillId="0" borderId="0" xfId="1" applyNumberFormat="1" applyFont="1"/>
    <xf numFmtId="166" fontId="0" fillId="0" borderId="0" xfId="0" applyNumberFormat="1"/>
    <xf numFmtId="0" fontId="3" fillId="2" borderId="0" xfId="2" applyFont="1" applyFill="1"/>
    <xf numFmtId="0" fontId="0" fillId="2" borderId="0" xfId="0" applyFill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4" fontId="0" fillId="8" borderId="0" xfId="0" applyNumberFormat="1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4" fontId="0" fillId="0" borderId="0" xfId="0" applyNumberFormat="1"/>
    <xf numFmtId="171" fontId="12" fillId="0" borderId="0" xfId="0" applyNumberFormat="1" applyFont="1" applyAlignment="1">
      <alignment horizontal="center" vertical="center" wrapText="1"/>
    </xf>
    <xf numFmtId="8" fontId="0" fillId="0" borderId="0" xfId="0" applyNumberFormat="1"/>
    <xf numFmtId="170" fontId="0" fillId="0" borderId="26" xfId="0" applyNumberFormat="1" applyBorder="1" applyAlignment="1">
      <alignment horizontal="center" vertical="center"/>
    </xf>
    <xf numFmtId="170" fontId="0" fillId="0" borderId="0" xfId="0" applyNumberFormat="1"/>
    <xf numFmtId="0" fontId="3" fillId="0" borderId="24" xfId="2" applyFont="1" applyBorder="1" applyAlignment="1" applyProtection="1">
      <alignment horizontal="right" indent="1"/>
      <protection locked="0"/>
    </xf>
    <xf numFmtId="167" fontId="3" fillId="0" borderId="24" xfId="1" applyNumberFormat="1" applyFont="1" applyFill="1" applyBorder="1" applyAlignment="1" applyProtection="1">
      <alignment horizontal="right" indent="1"/>
      <protection locked="0"/>
    </xf>
    <xf numFmtId="3" fontId="3" fillId="0" borderId="24" xfId="2" applyNumberFormat="1" applyFont="1" applyBorder="1" applyAlignment="1" applyProtection="1">
      <alignment horizontal="right" indent="1"/>
      <protection locked="0"/>
    </xf>
    <xf numFmtId="165" fontId="3" fillId="0" borderId="24" xfId="2" applyNumberFormat="1" applyFont="1" applyBorder="1" applyAlignment="1" applyProtection="1">
      <alignment horizontal="right" indent="1"/>
      <protection locked="0"/>
    </xf>
    <xf numFmtId="9" fontId="3" fillId="0" borderId="24" xfId="1" applyFont="1" applyBorder="1" applyAlignment="1" applyProtection="1">
      <alignment horizontal="right" indent="1"/>
      <protection locked="0"/>
    </xf>
    <xf numFmtId="9" fontId="7" fillId="0" borderId="20" xfId="1" applyFont="1" applyBorder="1" applyAlignment="1" applyProtection="1">
      <alignment horizontal="right" indent="1"/>
      <protection locked="0"/>
    </xf>
    <xf numFmtId="1" fontId="7" fillId="0" borderId="20" xfId="2" applyNumberFormat="1" applyFont="1" applyBorder="1" applyAlignment="1" applyProtection="1">
      <alignment horizontal="right" indent="1"/>
      <protection locked="0"/>
    </xf>
    <xf numFmtId="169" fontId="7" fillId="0" borderId="20" xfId="2" applyNumberFormat="1" applyFont="1" applyBorder="1" applyAlignment="1" applyProtection="1">
      <alignment horizontal="right" indent="1"/>
      <protection hidden="1"/>
    </xf>
    <xf numFmtId="4" fontId="7" fillId="0" borderId="20" xfId="2" applyNumberFormat="1" applyFont="1" applyBorder="1" applyAlignment="1" applyProtection="1">
      <alignment horizontal="right" indent="1"/>
      <protection locked="0"/>
    </xf>
    <xf numFmtId="0" fontId="7" fillId="0" borderId="20" xfId="2" applyFont="1" applyBorder="1" applyAlignment="1" applyProtection="1">
      <alignment horizontal="right" indent="1"/>
      <protection locked="0"/>
    </xf>
    <xf numFmtId="169" fontId="7" fillId="0" borderId="20" xfId="2" applyNumberFormat="1" applyFont="1" applyBorder="1" applyAlignment="1" applyProtection="1">
      <alignment horizontal="right" indent="1"/>
      <protection locked="0"/>
    </xf>
    <xf numFmtId="0" fontId="3" fillId="0" borderId="18" xfId="2" applyFont="1" applyBorder="1" applyProtection="1">
      <protection hidden="1"/>
    </xf>
    <xf numFmtId="168" fontId="7" fillId="0" borderId="20" xfId="2" applyNumberFormat="1" applyFont="1" applyBorder="1" applyAlignment="1" applyProtection="1">
      <alignment horizontal="right" indent="1"/>
      <protection hidden="1"/>
    </xf>
    <xf numFmtId="167" fontId="7" fillId="0" borderId="20" xfId="1" applyNumberFormat="1" applyFont="1" applyBorder="1" applyAlignment="1" applyProtection="1">
      <alignment horizontal="right" indent="1"/>
      <protection hidden="1"/>
    </xf>
    <xf numFmtId="166" fontId="3" fillId="0" borderId="6" xfId="0" applyNumberFormat="1" applyFont="1" applyBorder="1" applyProtection="1">
      <protection hidden="1"/>
    </xf>
    <xf numFmtId="3" fontId="3" fillId="0" borderId="6" xfId="0" applyNumberFormat="1" applyFont="1" applyBorder="1" applyProtection="1">
      <protection hidden="1"/>
    </xf>
    <xf numFmtId="0" fontId="3" fillId="0" borderId="18" xfId="2" applyFont="1" applyBorder="1" applyProtection="1">
      <protection locked="0"/>
    </xf>
    <xf numFmtId="0" fontId="7" fillId="0" borderId="18" xfId="4" applyFont="1" applyBorder="1" applyProtection="1">
      <protection locked="0"/>
    </xf>
    <xf numFmtId="0" fontId="7" fillId="0" borderId="18" xfId="2" applyFont="1" applyBorder="1" applyProtection="1">
      <protection locked="0"/>
    </xf>
    <xf numFmtId="0" fontId="8" fillId="4" borderId="13" xfId="2" applyFont="1" applyFill="1" applyBorder="1" applyAlignment="1">
      <alignment horizontal="left" vertical="center"/>
    </xf>
    <xf numFmtId="0" fontId="8" fillId="4" borderId="16" xfId="2" applyFont="1" applyFill="1" applyBorder="1" applyAlignment="1">
      <alignment horizontal="left" vertical="center"/>
    </xf>
    <xf numFmtId="0" fontId="4" fillId="2" borderId="2" xfId="3" applyFont="1" applyFill="1" applyBorder="1" applyAlignment="1">
      <alignment horizontal="center"/>
    </xf>
    <xf numFmtId="168" fontId="3" fillId="0" borderId="7" xfId="0" applyNumberFormat="1" applyFont="1" applyBorder="1" applyAlignment="1" applyProtection="1">
      <alignment horizontal="center"/>
      <protection hidden="1"/>
    </xf>
    <xf numFmtId="168" fontId="3" fillId="0" borderId="8" xfId="0" applyNumberFormat="1" applyFont="1" applyBorder="1" applyAlignment="1" applyProtection="1">
      <alignment horizontal="center"/>
      <protection hidden="1"/>
    </xf>
    <xf numFmtId="0" fontId="11" fillId="2" borderId="0" xfId="2" applyFont="1" applyFill="1" applyAlignment="1">
      <alignment horizontal="left" vertical="center"/>
    </xf>
    <xf numFmtId="168" fontId="3" fillId="0" borderId="7" xfId="0" applyNumberFormat="1" applyFont="1" applyBorder="1" applyAlignment="1">
      <alignment horizontal="center"/>
    </xf>
    <xf numFmtId="168" fontId="3" fillId="0" borderId="8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</cellXfs>
  <cellStyles count="5">
    <cellStyle name="Hyperlink" xfId="4" builtinId="8"/>
    <cellStyle name="Normal" xfId="0" builtinId="0"/>
    <cellStyle name="Normal 2" xfId="2" xr:uid="{5EC79F8D-99C2-4CEB-AE0C-4D747B5CE74D}"/>
    <cellStyle name="Normal 3" xfId="3" xr:uid="{8944A456-0D5D-4C25-A1AF-541DF22D04CD}"/>
    <cellStyle name="Percent" xfId="1" builtinId="5"/>
  </cellStyles>
  <dxfs count="19">
    <dxf>
      <numFmt numFmtId="14" formatCode="0.00%"/>
    </dxf>
    <dxf>
      <numFmt numFmtId="14" formatCode="0.00%"/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4" formatCode="0.00%"/>
    </dxf>
    <dxf>
      <numFmt numFmtId="2" formatCode="0.00"/>
    </dxf>
    <dxf>
      <numFmt numFmtId="0" formatCode="General"/>
    </dxf>
    <dxf>
      <numFmt numFmtId="2" formatCode="0.00"/>
    </dxf>
    <dxf>
      <numFmt numFmtId="0" formatCode="General"/>
    </dxf>
    <dxf>
      <numFmt numFmtId="19" formatCode="yyyy/mm/dd"/>
    </dxf>
    <dxf>
      <numFmt numFmtId="19" formatCode="yyyy/mm/dd"/>
    </dxf>
    <dxf>
      <numFmt numFmtId="13" formatCode="0%"/>
    </dxf>
    <dxf>
      <numFmt numFmtId="13" formatCode="0%"/>
    </dxf>
    <dxf>
      <numFmt numFmtId="13" formatCode="0%"/>
    </dxf>
    <dxf>
      <font>
        <color rgb="FF9C0006"/>
      </font>
    </dxf>
  </dxfs>
  <tableStyles count="0" defaultTableStyle="TableStyleMedium2" defaultPivotStyle="PivotStyleLight16"/>
  <colors>
    <mruColors>
      <color rgb="FF79BC43"/>
      <color rgb="FF203D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41010970750955E-2"/>
          <c:y val="4.5948600687209178E-2"/>
          <c:w val="0.89150181167402032"/>
          <c:h val="0.68457319884194801"/>
        </c:manualLayout>
      </c:layout>
      <c:lineChart>
        <c:grouping val="standard"/>
        <c:varyColors val="0"/>
        <c:ser>
          <c:idx val="0"/>
          <c:order val="0"/>
          <c:tx>
            <c:strRef>
              <c:f>Skaičiavimai!$C$35</c:f>
              <c:strCache>
                <c:ptCount val="1"/>
                <c:pt idx="0">
                  <c:v>Alternatyva: Remontuoti (diskontuotos suminės išlaidos)</c:v>
                </c:pt>
              </c:strCache>
            </c:strRef>
          </c:tx>
          <c:spPr>
            <a:ln w="28575" cap="rnd">
              <a:solidFill>
                <a:srgbClr val="203D7C"/>
              </a:solidFill>
              <a:round/>
            </a:ln>
            <a:effectLst/>
          </c:spPr>
          <c:marker>
            <c:symbol val="none"/>
          </c:marker>
          <c:cat>
            <c:numRef>
              <c:f>Skaičiavimai!$D$34:$AC$34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cat>
          <c:val>
            <c:numRef>
              <c:f>Skaičiavimai!$D$35:$AC$35</c:f>
              <c:numCache>
                <c:formatCode>_-* #\ ##0\ [$€-427]_-;\-* #\ ##0\ [$€-427]_-;_-* "-"??\ [$€-427]_-;_-@_-</c:formatCode>
                <c:ptCount val="26"/>
                <c:pt idx="0">
                  <c:v>0</c:v>
                </c:pt>
                <c:pt idx="1">
                  <c:v>37179.48717948718</c:v>
                </c:pt>
                <c:pt idx="2">
                  <c:v>72928.994082840232</c:v>
                </c:pt>
                <c:pt idx="3">
                  <c:v>107303.51995144895</c:v>
                </c:pt>
                <c:pt idx="4">
                  <c:v>140355.94867126504</c:v>
                </c:pt>
                <c:pt idx="5">
                  <c:v>172137.13013262663</c:v>
                </c:pt>
                <c:pt idx="6">
                  <c:v>202695.95846085891</c:v>
                </c:pt>
                <c:pt idx="7">
                  <c:v>232079.44723800538</c:v>
                </c:pt>
                <c:pt idx="8">
                  <c:v>260332.80183141539</c:v>
                </c:pt>
                <c:pt idx="9">
                  <c:v>287499.48894046352</c:v>
                </c:pt>
                <c:pt idx="10">
                  <c:v>313621.30346839438</c:v>
                </c:pt>
                <c:pt idx="11">
                  <c:v>338738.4328221741</c:v>
                </c:pt>
                <c:pt idx="12">
                  <c:v>362889.51873926999</c:v>
                </c:pt>
                <c:pt idx="13">
                  <c:v>386111.71673647757</c:v>
                </c:pt>
                <c:pt idx="14">
                  <c:v>408440.75327225402</c:v>
                </c:pt>
                <c:pt idx="15">
                  <c:v>429910.98071050068</c:v>
                </c:pt>
                <c:pt idx="16">
                  <c:v>450555.43017035321</c:v>
                </c:pt>
                <c:pt idx="17">
                  <c:v>470405.86234328832</c:v>
                </c:pt>
                <c:pt idx="18">
                  <c:v>489492.81635572592</c:v>
                </c:pt>
                <c:pt idx="19">
                  <c:v>507845.65675230057</c:v>
                </c:pt>
                <c:pt idx="20">
                  <c:v>525492.61867208383</c:v>
                </c:pt>
                <c:pt idx="21">
                  <c:v>542460.85128726007</c:v>
                </c:pt>
                <c:pt idx="22">
                  <c:v>558776.45957108331</c:v>
                </c:pt>
                <c:pt idx="23">
                  <c:v>558776.45957108331</c:v>
                </c:pt>
                <c:pt idx="24">
                  <c:v>558776.45957108331</c:v>
                </c:pt>
                <c:pt idx="25">
                  <c:v>558776.45957108331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0B-4466-B2D1-A1153BFD500E}"/>
            </c:ext>
          </c:extLst>
        </c:ser>
        <c:ser>
          <c:idx val="1"/>
          <c:order val="1"/>
          <c:tx>
            <c:strRef>
              <c:f>Skaičiavimai!$C$36</c:f>
              <c:strCache>
                <c:ptCount val="1"/>
                <c:pt idx="0">
                  <c:v>Alternatyva: Modernizuoti (diskontuotos suminės išlaidos)</c:v>
                </c:pt>
              </c:strCache>
            </c:strRef>
          </c:tx>
          <c:spPr>
            <a:ln w="28575" cap="rnd">
              <a:solidFill>
                <a:srgbClr val="79BC43"/>
              </a:solidFill>
              <a:round/>
            </a:ln>
            <a:effectLst/>
          </c:spPr>
          <c:marker>
            <c:symbol val="none"/>
          </c:marker>
          <c:cat>
            <c:numRef>
              <c:f>Skaičiavimai!$D$34:$AC$34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cat>
          <c:val>
            <c:numRef>
              <c:f>Skaičiavimai!$D$36:$AC$36</c:f>
              <c:numCache>
                <c:formatCode>_-* #\ ##0\ [$€-427]_-;\-* #\ ##0\ [$€-427]_-;_-* "-"??\ [$€-427]_-;_-@_-</c:formatCode>
                <c:ptCount val="26"/>
                <c:pt idx="0">
                  <c:v>0</c:v>
                </c:pt>
                <c:pt idx="1">
                  <c:v>19615.384615384613</c:v>
                </c:pt>
                <c:pt idx="2">
                  <c:v>418901.72156354965</c:v>
                </c:pt>
                <c:pt idx="3">
                  <c:v>427120.70600155444</c:v>
                </c:pt>
                <c:pt idx="4">
                  <c:v>435023.57565348211</c:v>
                </c:pt>
                <c:pt idx="5">
                  <c:v>442622.48878033564</c:v>
                </c:pt>
                <c:pt idx="6">
                  <c:v>449929.13601769484</c:v>
                </c:pt>
                <c:pt idx="7">
                  <c:v>456954.75836130942</c:v>
                </c:pt>
                <c:pt idx="8">
                  <c:v>464806.19976844179</c:v>
                </c:pt>
                <c:pt idx="9">
                  <c:v>472355.66265991528</c:v>
                </c:pt>
                <c:pt idx="10">
                  <c:v>479614.76159402437</c:v>
                </c:pt>
                <c:pt idx="11">
                  <c:v>486594.66441528307</c:v>
                </c:pt>
                <c:pt idx="12">
                  <c:v>493306.10943572415</c:v>
                </c:pt>
                <c:pt idx="13">
                  <c:v>499759.42195537908</c:v>
                </c:pt>
                <c:pt idx="14">
                  <c:v>505964.53014735493</c:v>
                </c:pt>
                <c:pt idx="15">
                  <c:v>511930.98033194715</c:v>
                </c:pt>
                <c:pt idx="16">
                  <c:v>517667.95166328573</c:v>
                </c:pt>
                <c:pt idx="17">
                  <c:v>523184.27025111136</c:v>
                </c:pt>
                <c:pt idx="18">
                  <c:v>528488.42273940518</c:v>
                </c:pt>
                <c:pt idx="19">
                  <c:v>533588.56936276471</c:v>
                </c:pt>
                <c:pt idx="20">
                  <c:v>538492.55650061031</c:v>
                </c:pt>
                <c:pt idx="21">
                  <c:v>543207.92874853883</c:v>
                </c:pt>
                <c:pt idx="22">
                  <c:v>547741.94052539312</c:v>
                </c:pt>
                <c:pt idx="23">
                  <c:v>547741.94052539312</c:v>
                </c:pt>
                <c:pt idx="24">
                  <c:v>547741.94052539312</c:v>
                </c:pt>
                <c:pt idx="25">
                  <c:v>547741.94052539312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0B-4466-B2D1-A1153BFD5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415472"/>
        <c:axId val="452435024"/>
      </c:lineChart>
      <c:scatterChart>
        <c:scatterStyle val="lineMarker"/>
        <c:varyColors val="0"/>
        <c:ser>
          <c:idx val="2"/>
          <c:order val="2"/>
          <c:tx>
            <c:v>Atsipirkimas</c:v>
          </c:tx>
          <c:spPr>
            <a:ln w="12700" cap="rnd">
              <a:solidFill>
                <a:srgbClr val="203D7C"/>
              </a:solidFill>
              <a:prstDash val="sysDash"/>
              <a:round/>
              <a:headEnd type="triangle"/>
            </a:ln>
            <a:effectLst/>
          </c:spPr>
          <c:marker>
            <c:symbol val="none"/>
          </c:marker>
          <c:xVal>
            <c:numRef>
              <c:f>Skaičiavimai!$G$38:$G$39</c:f>
              <c:numCache>
                <c:formatCode>0.00</c:formatCode>
                <c:ptCount val="2"/>
                <c:pt idx="0">
                  <c:v>22.063410545492442</c:v>
                </c:pt>
                <c:pt idx="1">
                  <c:v>22.063410545492442</c:v>
                </c:pt>
              </c:numCache>
            </c:numRef>
          </c:xVal>
          <c:yVal>
            <c:numRef>
              <c:f>Skaičiavimai!$F$38:$F$39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C0B-4466-B2D1-A1153BFD500E}"/>
            </c:ext>
          </c:extLst>
        </c:ser>
        <c:ser>
          <c:idx val="3"/>
          <c:order val="3"/>
          <c:tx>
            <c:v>Daugiabutis modernizuotas</c:v>
          </c:tx>
          <c:spPr>
            <a:ln w="12700" cap="rnd">
              <a:solidFill>
                <a:srgbClr val="79BC43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Skaičiavimai!$J$38:$J$39</c:f>
              <c:numCache>
                <c:formatCode>0.00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xVal>
          <c:yVal>
            <c:numRef>
              <c:f>Skaičiavimai!$I$38:$I$39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0B-4466-B2D1-A1153BFD500E}"/>
            </c:ext>
          </c:extLst>
        </c:ser>
        <c:ser>
          <c:idx val="4"/>
          <c:order val="4"/>
          <c:tx>
            <c:v>Priemonių gyvavimo trukmė</c:v>
          </c:tx>
          <c:spPr>
            <a:ln w="12700" cap="rnd">
              <a:solidFill>
                <a:srgbClr val="203D7C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Skaičiavimai!$M$38:$M$39</c:f>
              <c:numCache>
                <c:formatCode>0.00</c:formatCode>
                <c:ptCount val="2"/>
                <c:pt idx="0">
                  <c:v>23</c:v>
                </c:pt>
                <c:pt idx="1">
                  <c:v>23</c:v>
                </c:pt>
              </c:numCache>
            </c:numRef>
          </c:xVal>
          <c:yVal>
            <c:numRef>
              <c:f>Skaičiavimai!$L$38:$L$39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0B-4466-B2D1-A1153BFD5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0705600"/>
        <c:axId val="1670720160"/>
      </c:scatterChart>
      <c:catAx>
        <c:axId val="45241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452435024"/>
        <c:crosses val="autoZero"/>
        <c:auto val="1"/>
        <c:lblAlgn val="ctr"/>
        <c:lblOffset val="100"/>
        <c:noMultiLvlLbl val="0"/>
      </c:catAx>
      <c:valAx>
        <c:axId val="45243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[$€-427]_-;\-* #\ ##0\ [$€-427]_-;_-* &quot;-&quot;??\ [$€-427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452415472"/>
        <c:crosses val="autoZero"/>
        <c:crossBetween val="between"/>
      </c:valAx>
      <c:valAx>
        <c:axId val="16707201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bg1"/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1670705600"/>
        <c:crosses val="max"/>
        <c:crossBetween val="midCat"/>
      </c:valAx>
      <c:valAx>
        <c:axId val="1670705600"/>
        <c:scaling>
          <c:orientation val="minMax"/>
        </c:scaling>
        <c:delete val="1"/>
        <c:axPos val="t"/>
        <c:numFmt formatCode="0.00" sourceLinked="1"/>
        <c:majorTickMark val="out"/>
        <c:minorTickMark val="none"/>
        <c:tickLblPos val="nextTo"/>
        <c:crossAx val="1670720160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377675812106223"/>
          <c:y val="0.84266351951907648"/>
          <c:w val="0.7726968661291439"/>
          <c:h val="0.138601117483265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+mj-lt"/>
        </a:defRPr>
      </a:pPr>
      <a:endParaRPr lang="lt-LT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Skaičiavimai!$C$35</c:f>
              <c:strCache>
                <c:ptCount val="1"/>
                <c:pt idx="0">
                  <c:v>Alternatyva: Remontuoti (diskontuotos suminės išlaidos)</c:v>
                </c:pt>
              </c:strCache>
            </c:strRef>
          </c:tx>
          <c:spPr>
            <a:ln w="28575" cap="rnd">
              <a:solidFill>
                <a:srgbClr val="203D7C"/>
              </a:solidFill>
              <a:round/>
            </a:ln>
            <a:effectLst/>
          </c:spPr>
          <c:marker>
            <c:symbol val="none"/>
          </c:marker>
          <c:cat>
            <c:numRef>
              <c:f>Skaičiavimai!$D$34:$AC$34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cat>
          <c:val>
            <c:numRef>
              <c:f>Skaičiavimai!$D$35:$AC$35</c:f>
              <c:numCache>
                <c:formatCode>_-* #\ ##0\ [$€-427]_-;\-* #\ ##0\ [$€-427]_-;_-* "-"??\ [$€-427]_-;_-@_-</c:formatCode>
                <c:ptCount val="26"/>
                <c:pt idx="0">
                  <c:v>0</c:v>
                </c:pt>
                <c:pt idx="1">
                  <c:v>37179.48717948718</c:v>
                </c:pt>
                <c:pt idx="2">
                  <c:v>72928.994082840232</c:v>
                </c:pt>
                <c:pt idx="3">
                  <c:v>107303.51995144895</c:v>
                </c:pt>
                <c:pt idx="4">
                  <c:v>140355.94867126504</c:v>
                </c:pt>
                <c:pt idx="5">
                  <c:v>172137.13013262663</c:v>
                </c:pt>
                <c:pt idx="6">
                  <c:v>202695.95846085891</c:v>
                </c:pt>
                <c:pt idx="7">
                  <c:v>232079.44723800538</c:v>
                </c:pt>
                <c:pt idx="8">
                  <c:v>260332.80183141539</c:v>
                </c:pt>
                <c:pt idx="9">
                  <c:v>287499.48894046352</c:v>
                </c:pt>
                <c:pt idx="10">
                  <c:v>313621.30346839438</c:v>
                </c:pt>
                <c:pt idx="11">
                  <c:v>338738.4328221741</c:v>
                </c:pt>
                <c:pt idx="12">
                  <c:v>362889.51873926999</c:v>
                </c:pt>
                <c:pt idx="13">
                  <c:v>386111.71673647757</c:v>
                </c:pt>
                <c:pt idx="14">
                  <c:v>408440.75327225402</c:v>
                </c:pt>
                <c:pt idx="15">
                  <c:v>429910.98071050068</c:v>
                </c:pt>
                <c:pt idx="16">
                  <c:v>450555.43017035321</c:v>
                </c:pt>
                <c:pt idx="17">
                  <c:v>470405.86234328832</c:v>
                </c:pt>
                <c:pt idx="18">
                  <c:v>489492.81635572592</c:v>
                </c:pt>
                <c:pt idx="19">
                  <c:v>507845.65675230057</c:v>
                </c:pt>
                <c:pt idx="20">
                  <c:v>525492.61867208383</c:v>
                </c:pt>
                <c:pt idx="21">
                  <c:v>542460.85128726007</c:v>
                </c:pt>
                <c:pt idx="22">
                  <c:v>558776.45957108331</c:v>
                </c:pt>
                <c:pt idx="23">
                  <c:v>558776.45957108331</c:v>
                </c:pt>
                <c:pt idx="24">
                  <c:v>558776.45957108331</c:v>
                </c:pt>
                <c:pt idx="25">
                  <c:v>558776.45957108331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5A-47BE-A47E-402E84D8F540}"/>
            </c:ext>
          </c:extLst>
        </c:ser>
        <c:ser>
          <c:idx val="1"/>
          <c:order val="1"/>
          <c:tx>
            <c:strRef>
              <c:f>Skaičiavimai!$C$36</c:f>
              <c:strCache>
                <c:ptCount val="1"/>
                <c:pt idx="0">
                  <c:v>Alternatyva: Modernizuoti (diskontuotos suminės išlaidos)</c:v>
                </c:pt>
              </c:strCache>
            </c:strRef>
          </c:tx>
          <c:spPr>
            <a:ln w="28575" cap="rnd">
              <a:solidFill>
                <a:srgbClr val="79BC43"/>
              </a:solidFill>
              <a:round/>
            </a:ln>
            <a:effectLst/>
          </c:spPr>
          <c:marker>
            <c:symbol val="none"/>
          </c:marker>
          <c:cat>
            <c:numRef>
              <c:f>Skaičiavimai!$D$34:$AC$34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cat>
          <c:val>
            <c:numRef>
              <c:f>Skaičiavimai!$D$36:$AC$36</c:f>
              <c:numCache>
                <c:formatCode>_-* #\ ##0\ [$€-427]_-;\-* #\ ##0\ [$€-427]_-;_-* "-"??\ [$€-427]_-;_-@_-</c:formatCode>
                <c:ptCount val="26"/>
                <c:pt idx="0">
                  <c:v>0</c:v>
                </c:pt>
                <c:pt idx="1">
                  <c:v>19615.384615384613</c:v>
                </c:pt>
                <c:pt idx="2">
                  <c:v>418901.72156354965</c:v>
                </c:pt>
                <c:pt idx="3">
                  <c:v>427120.70600155444</c:v>
                </c:pt>
                <c:pt idx="4">
                  <c:v>435023.57565348211</c:v>
                </c:pt>
                <c:pt idx="5">
                  <c:v>442622.48878033564</c:v>
                </c:pt>
                <c:pt idx="6">
                  <c:v>449929.13601769484</c:v>
                </c:pt>
                <c:pt idx="7">
                  <c:v>456954.75836130942</c:v>
                </c:pt>
                <c:pt idx="8">
                  <c:v>464806.19976844179</c:v>
                </c:pt>
                <c:pt idx="9">
                  <c:v>472355.66265991528</c:v>
                </c:pt>
                <c:pt idx="10">
                  <c:v>479614.76159402437</c:v>
                </c:pt>
                <c:pt idx="11">
                  <c:v>486594.66441528307</c:v>
                </c:pt>
                <c:pt idx="12">
                  <c:v>493306.10943572415</c:v>
                </c:pt>
                <c:pt idx="13">
                  <c:v>499759.42195537908</c:v>
                </c:pt>
                <c:pt idx="14">
                  <c:v>505964.53014735493</c:v>
                </c:pt>
                <c:pt idx="15">
                  <c:v>511930.98033194715</c:v>
                </c:pt>
                <c:pt idx="16">
                  <c:v>517667.95166328573</c:v>
                </c:pt>
                <c:pt idx="17">
                  <c:v>523184.27025111136</c:v>
                </c:pt>
                <c:pt idx="18">
                  <c:v>528488.42273940518</c:v>
                </c:pt>
                <c:pt idx="19">
                  <c:v>533588.56936276471</c:v>
                </c:pt>
                <c:pt idx="20">
                  <c:v>538492.55650061031</c:v>
                </c:pt>
                <c:pt idx="21">
                  <c:v>543207.92874853883</c:v>
                </c:pt>
                <c:pt idx="22">
                  <c:v>547741.94052539312</c:v>
                </c:pt>
                <c:pt idx="23">
                  <c:v>547741.94052539312</c:v>
                </c:pt>
                <c:pt idx="24">
                  <c:v>547741.94052539312</c:v>
                </c:pt>
                <c:pt idx="25">
                  <c:v>547741.94052539312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5A-47BE-A47E-402E84D8F5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415472"/>
        <c:axId val="452435024"/>
      </c:lineChart>
      <c:scatterChart>
        <c:scatterStyle val="lineMarker"/>
        <c:varyColors val="0"/>
        <c:ser>
          <c:idx val="2"/>
          <c:order val="2"/>
          <c:tx>
            <c:v>Atsipirkimas</c:v>
          </c:tx>
          <c:spPr>
            <a:ln w="12700" cap="rnd">
              <a:solidFill>
                <a:srgbClr val="203D7C"/>
              </a:solidFill>
              <a:prstDash val="sysDash"/>
              <a:round/>
              <a:headEnd type="triangle"/>
            </a:ln>
            <a:effectLst/>
          </c:spPr>
          <c:marker>
            <c:symbol val="none"/>
          </c:marker>
          <c:xVal>
            <c:numRef>
              <c:f>Skaičiavimai!$G$38:$G$39</c:f>
              <c:numCache>
                <c:formatCode>0.00</c:formatCode>
                <c:ptCount val="2"/>
                <c:pt idx="0">
                  <c:v>22.063410545492442</c:v>
                </c:pt>
                <c:pt idx="1">
                  <c:v>22.063410545492442</c:v>
                </c:pt>
              </c:numCache>
            </c:numRef>
          </c:xVal>
          <c:yVal>
            <c:numRef>
              <c:f>Skaičiavimai!$F$38:$F$39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05A-47BE-A47E-402E84D8F540}"/>
            </c:ext>
          </c:extLst>
        </c:ser>
        <c:ser>
          <c:idx val="3"/>
          <c:order val="3"/>
          <c:tx>
            <c:v>Daugiabutis modernizuotas</c:v>
          </c:tx>
          <c:spPr>
            <a:ln w="12700" cap="rnd">
              <a:solidFill>
                <a:srgbClr val="79BC43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Skaičiavimai!$J$38:$J$39</c:f>
              <c:numCache>
                <c:formatCode>0.00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xVal>
          <c:yVal>
            <c:numRef>
              <c:f>Skaičiavimai!$I$38:$I$39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05A-47BE-A47E-402E84D8F540}"/>
            </c:ext>
          </c:extLst>
        </c:ser>
        <c:ser>
          <c:idx val="4"/>
          <c:order val="4"/>
          <c:tx>
            <c:v>Priemonių gyvavimo trukmė</c:v>
          </c:tx>
          <c:spPr>
            <a:ln w="12700" cap="rnd">
              <a:solidFill>
                <a:srgbClr val="203D7C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Skaičiavimai!$M$38:$M$39</c:f>
              <c:numCache>
                <c:formatCode>0.00</c:formatCode>
                <c:ptCount val="2"/>
                <c:pt idx="0">
                  <c:v>23</c:v>
                </c:pt>
                <c:pt idx="1">
                  <c:v>23</c:v>
                </c:pt>
              </c:numCache>
            </c:numRef>
          </c:xVal>
          <c:yVal>
            <c:numRef>
              <c:f>Skaičiavimai!$L$38:$L$39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05A-47BE-A47E-402E84D8F5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0705600"/>
        <c:axId val="1670720160"/>
      </c:scatterChart>
      <c:catAx>
        <c:axId val="45241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452435024"/>
        <c:crosses val="autoZero"/>
        <c:auto val="1"/>
        <c:lblAlgn val="ctr"/>
        <c:lblOffset val="100"/>
        <c:noMultiLvlLbl val="0"/>
      </c:catAx>
      <c:valAx>
        <c:axId val="45243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[$€-427]_-;\-* #\ ##0\ [$€-427]_-;_-* &quot;-&quot;??\ [$€-427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452415472"/>
        <c:crosses val="autoZero"/>
        <c:crossBetween val="between"/>
      </c:valAx>
      <c:valAx>
        <c:axId val="16707201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j-lt"/>
                <a:ea typeface="+mn-ea"/>
                <a:cs typeface="+mn-cs"/>
              </a:defRPr>
            </a:pPr>
            <a:endParaRPr lang="lt-LT"/>
          </a:p>
        </c:txPr>
        <c:crossAx val="1670705600"/>
        <c:crosses val="max"/>
        <c:crossBetween val="midCat"/>
      </c:valAx>
      <c:valAx>
        <c:axId val="1670705600"/>
        <c:scaling>
          <c:orientation val="minMax"/>
        </c:scaling>
        <c:delete val="1"/>
        <c:axPos val="t"/>
        <c:numFmt formatCode="0.00" sourceLinked="1"/>
        <c:majorTickMark val="out"/>
        <c:minorTickMark val="none"/>
        <c:tickLblPos val="nextTo"/>
        <c:crossAx val="1670720160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+mj-lt"/>
        </a:defRPr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2</xdr:row>
          <xdr:rowOff>38100</xdr:rowOff>
        </xdr:from>
        <xdr:to>
          <xdr:col>15</xdr:col>
          <xdr:colOff>171450</xdr:colOff>
          <xdr:row>3</xdr:row>
          <xdr:rowOff>171450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 Light"/>
                  <a:ea typeface="Calibri Light"/>
                  <a:cs typeface="Calibri Light"/>
                </a:rPr>
                <a:t>SPAUSDINTI PDF FORMATU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190500</xdr:colOff>
      <xdr:row>24</xdr:row>
      <xdr:rowOff>180974</xdr:rowOff>
    </xdr:from>
    <xdr:to>
      <xdr:col>14</xdr:col>
      <xdr:colOff>28575</xdr:colOff>
      <xdr:row>47</xdr:row>
      <xdr:rowOff>57149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123825</xdr:colOff>
      <xdr:row>1</xdr:row>
      <xdr:rowOff>66674</xdr:rowOff>
    </xdr:from>
    <xdr:to>
      <xdr:col>30</xdr:col>
      <xdr:colOff>47625</xdr:colOff>
      <xdr:row>3</xdr:row>
      <xdr:rowOff>142874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745575" y="257174"/>
          <a:ext cx="22288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lt-LT" sz="1100"/>
            <a:t>Pratęsiama,</a:t>
          </a:r>
          <a:r>
            <a:rPr lang="lt-LT" sz="1100" baseline="0"/>
            <a:t> kad priemonių gyvavimo trukmė būtų 20 metų</a:t>
          </a:r>
          <a:endParaRPr lang="lt-LT" sz="1100"/>
        </a:p>
      </xdr:txBody>
    </xdr:sp>
    <xdr:clientData/>
  </xdr:twoCellAnchor>
  <xdr:twoCellAnchor>
    <xdr:from>
      <xdr:col>2</xdr:col>
      <xdr:colOff>4048125</xdr:colOff>
      <xdr:row>36</xdr:row>
      <xdr:rowOff>190499</xdr:rowOff>
    </xdr:from>
    <xdr:to>
      <xdr:col>15</xdr:col>
      <xdr:colOff>438150</xdr:colOff>
      <xdr:row>58</xdr:row>
      <xdr:rowOff>123824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3DF453-1A16-4EC1-AF1C-B84AD8D03371}" name="Table1" displayName="Table1" ref="A1:A9" totalsRowShown="0">
  <autoFilter ref="A1:A9" xr:uid="{A23DF453-1A16-4EC1-AF1C-B84AD8D03371}"/>
  <tableColumns count="1">
    <tableColumn id="1" xr3:uid="{96D66519-1572-4570-AA83-4506A875F732}" name="Sutaupymas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1F8315-9EF8-4B55-B13B-6836B50D3C3F}" name="Table2" displayName="Table2" ref="B1:B6" totalsRowShown="0">
  <autoFilter ref="B1:B6" xr:uid="{B31F8315-9EF8-4B55-B13B-6836B50D3C3F}"/>
  <tableColumns count="1">
    <tableColumn id="1" xr3:uid="{661F66CE-8927-4983-9B7B-E5CB924F2250}" name="Atidėjima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97BEE5-93AE-4F17-B700-47737BA27183}" name="Table3" displayName="Table3" ref="C1:C6" totalsRowShown="0">
  <autoFilter ref="C1:C6" xr:uid="{B397BEE5-93AE-4F17-B700-47737BA27183}"/>
  <tableColumns count="1">
    <tableColumn id="1" xr3:uid="{C1C848FD-1C30-4D5F-BC80-CBC4F65E7C61}" name="Subsidija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8CFE035-D5B0-4C54-9E50-7BF447E12C32}" name="Table4" displayName="Table4" ref="D1:D36" totalsRowShown="0">
  <autoFilter ref="D1:D36" xr:uid="{08CFE035-D5B0-4C54-9E50-7BF447E12C32}"/>
  <tableColumns count="1">
    <tableColumn id="1" xr3:uid="{E8024DAA-B7D2-46C4-925E-93DB0B62582A}" name="Renovacijų investicijo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B662FA-13B8-4AF4-828F-74D31F2747FA}" name="Table5" displayName="Table5" ref="E1:E12" totalsRowShown="0">
  <autoFilter ref="E1:E12" xr:uid="{FBB662FA-13B8-4AF4-828F-74D31F2747FA}"/>
  <tableColumns count="1">
    <tableColumn id="1" xr3:uid="{0E0E3D29-8D0A-46D3-BBCE-0A3C9ABEB182}" name="Remonto kaupimas" dataDxfId="1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49A474-F833-4AD8-AFFD-4DA9E0DFF2A7}" name="Table6" displayName="Table6" ref="F1:F10" totalsRowShown="0">
  <autoFilter ref="F1:F10" xr:uid="{DC49A474-F833-4AD8-AFFD-4DA9E0DFF2A7}"/>
  <tableColumns count="1">
    <tableColumn id="1" xr3:uid="{84399CB9-3DB8-4619-B598-043D3AB68635}" name="Temperatūra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195DF3D-8DDA-4064-AB9F-BDAACF8911DF}" name="Table7" displayName="Table7" ref="G1:G12" totalsRowShown="0">
  <autoFilter ref="G1:G12" xr:uid="{2195DF3D-8DDA-4064-AB9F-BDAACF8911DF}"/>
  <tableColumns count="1">
    <tableColumn id="1" xr3:uid="{D441EBA9-43D3-44CC-9579-EECF48A07756}" name="Paskolos trukmė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BA6791A-5F99-4F4B-9180-68B96AF6A756}" name="Table19" displayName="Table19" ref="K2:O20" totalsRowShown="0">
  <autoFilter ref="K2:O20" xr:uid="{8BA6791A-5F99-4F4B-9180-68B96AF6A756}"/>
  <tableColumns count="5">
    <tableColumn id="1" xr3:uid="{1CC5521B-25C5-440E-A18A-82F2185B45B2}" name="Miestas (stotis)"/>
    <tableColumn id="2" xr3:uid="{678C5E9C-30E1-47EE-B679-CE5B121FEC14}" name="Pradžia" dataDxfId="14"/>
    <tableColumn id="3" xr3:uid="{3A0A252B-7F9D-47D4-BDF0-792D203E982E}" name="Pabaiga" dataDxfId="13"/>
    <tableColumn id="4" xr3:uid="{867F9DA7-6E7F-4932-BA3E-82BD1D76E1CC}" name="Šildymo sezono trukmė" dataDxfId="12"/>
    <tableColumn id="5" xr3:uid="{72363662-0F7D-406D-B924-89F667E9DC16}" name="Vidutinė temperatūra" dataDxfId="1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796B4E8-4F8B-422D-B454-57CAB37A8803}" name="Table310" displayName="Table310" ref="Q2:X62" totalsRowShown="0">
  <autoFilter ref="Q2:X62" xr:uid="{F796B4E8-4F8B-422D-B454-57CAB37A8803}"/>
  <tableColumns count="8">
    <tableColumn id="1" xr3:uid="{E9E3A21C-F778-4C78-AF98-138037131EE4}" name="Eil. Nr."/>
    <tableColumn id="2" xr3:uid="{E9825D6E-D1B2-4BD4-9BDE-842907BE7ADD}" name="Savivaldybė"/>
    <tableColumn id="3" xr3:uid="{B52E0BCF-ED1C-4DE1-A38C-68EDD433C0EF}" name="Apskritis (regionas)"/>
    <tableColumn id="4" xr3:uid="{DB7DF7AB-1E62-4616-8305-98AFB796349A}" name="Miestas (stotis)"/>
    <tableColumn id="5" xr3:uid="{7BFB0C6E-DE14-4AB5-A889-970B50E354C4}" name="Lokacija turto vertei"/>
    <tableColumn id="6" xr3:uid="{67817C97-FBFC-4D61-9E74-4600BF1847AB}" name="Šildymo sezono trukmė" dataDxfId="10">
      <calculatedColumnFormula>SUMIF(Table19[Miestas (stotis)],Table310[[#This Row],[Miestas (stotis)]],Table19[Šildymo sezono trukmė])</calculatedColumnFormula>
    </tableColumn>
    <tableColumn id="7" xr3:uid="{80C5D62E-AF3C-4E34-B99A-C51267D24C13}" name="Vidutinė temperatūra" dataDxfId="9">
      <calculatedColumnFormula>SUMIF(Table19[Miestas (stotis)],Table310[[#This Row],[Miestas (stotis)]],Table19[Vidutinė temperatūra])</calculatedColumnFormula>
    </tableColumn>
    <tableColumn id="8" xr3:uid="{78FD2A19-FF67-4D73-984F-A4B7689A18C5}" name="Vertės padidėjimas" dataDxfId="8" dataCellStyle="Percent">
      <calculatedColumnFormula>SUMIF(Table10[Lokacija],Table310[[#This Row],[Lokacija turto vertei]],Table10[Vertės padidėjimas])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A21B912-052F-4405-995B-030ECFBBB39E}" name="Table10" displayName="Table10" ref="M24:O28" totalsRowShown="0" headerRowBorderDxfId="7" tableBorderDxfId="6" totalsRowBorderDxfId="5">
  <autoFilter ref="M24:O28" xr:uid="{EA21B912-052F-4405-995B-030ECFBBB39E}"/>
  <tableColumns count="3">
    <tableColumn id="1" xr3:uid="{35D1DF28-1986-4621-94C7-BFE4F9567974}" name="Lokacija" dataDxfId="4"/>
    <tableColumn id="2" xr3:uid="{8438A654-9600-4412-898A-E2465DBA63CC}" name="vietovės pataisa" dataDxfId="3"/>
    <tableColumn id="3" xr3:uid="{05FF8BAD-C28B-490B-826D-2A4CE0AC1070}" name="Vertės padidėjimas" dataDxfId="2" dataCellStyle="Percent">
      <calculatedColumnFormula>Table10[[#This Row],[vietovės pataisa]]*$O$23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6380226-C245-46E7-B6DA-DF8E217C369D}" name="Table11" displayName="Table11" ref="H1:H2" totalsRowShown="0">
  <autoFilter ref="H1:H2" xr:uid="{56380226-C245-46E7-B6DA-DF8E217C369D}"/>
  <tableColumns count="1">
    <tableColumn id="1" xr3:uid="{00BE54DF-F867-4B41-8646-B4FCC1B0A581}" name="Techninė priežiūra" dataDxfId="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F09B149-5BEE-4C39-B646-4C145E7C4D3C}" name="Table12" displayName="Table12" ref="I1:I2" totalsRowShown="0">
  <autoFilter ref="I1:I2" xr:uid="{DF09B149-5BEE-4C39-B646-4C145E7C4D3C}"/>
  <tableColumns count="1">
    <tableColumn id="1" xr3:uid="{6D20A6B9-ED15-4C1C-A2C0-9AACDD72E04D}" name="Diskonto nor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egistrucentras.lt/masvert/paieska-obj" TargetMode="External"/><Relationship Id="rId1" Type="http://schemas.openxmlformats.org/officeDocument/2006/relationships/hyperlink" Target="https://www.registrucentras.lt/ntr/p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2C41-0BA4-4EFF-9345-5F0D41783CCF}">
  <sheetPr codeName="Sheet1">
    <tabColor rgb="FF203D7C"/>
    <pageSetUpPr fitToPage="1"/>
  </sheetPr>
  <dimension ref="A1:W51"/>
  <sheetViews>
    <sheetView showGridLines="0" tabSelected="1" zoomScaleNormal="100" workbookViewId="0">
      <selection activeCell="F9" sqref="F9"/>
    </sheetView>
  </sheetViews>
  <sheetFormatPr defaultColWidth="0" defaultRowHeight="15" zeroHeight="1" x14ac:dyDescent="0.25"/>
  <cols>
    <col min="1" max="2" width="3.28515625" customWidth="1"/>
    <col min="3" max="3" width="33" customWidth="1"/>
    <col min="4" max="4" width="18.5703125" customWidth="1"/>
    <col min="5" max="5" width="10.85546875" customWidth="1"/>
    <col min="6" max="6" width="22.42578125" customWidth="1"/>
    <col min="7" max="10" width="3.28515625" customWidth="1"/>
    <col min="11" max="12" width="12.7109375" customWidth="1"/>
    <col min="13" max="13" width="31.85546875" customWidth="1"/>
    <col min="14" max="14" width="22.5703125" customWidth="1"/>
    <col min="15" max="16" width="3.28515625" customWidth="1"/>
    <col min="17" max="17" width="3.28515625" hidden="1" customWidth="1"/>
    <col min="18" max="23" width="12.7109375" hidden="1" customWidth="1"/>
    <col min="24" max="16384" width="9.140625" hidden="1"/>
  </cols>
  <sheetData>
    <row r="1" spans="1:16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1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15" customHeight="1" x14ac:dyDescent="0.25">
      <c r="A3" s="21"/>
      <c r="B3" s="116" t="s">
        <v>13</v>
      </c>
      <c r="C3" s="116"/>
      <c r="D3" s="116"/>
      <c r="E3" s="116"/>
      <c r="F3" s="116"/>
      <c r="G3" s="116"/>
      <c r="H3" s="22"/>
      <c r="I3" s="22"/>
      <c r="J3" s="22"/>
      <c r="K3" s="22"/>
      <c r="L3" s="23"/>
      <c r="M3" s="23"/>
      <c r="N3" s="23"/>
      <c r="O3" s="23"/>
      <c r="P3" s="24"/>
    </row>
    <row r="4" spans="1:16" ht="15" customHeight="1" x14ac:dyDescent="0.25">
      <c r="A4" s="25"/>
      <c r="B4" s="117"/>
      <c r="C4" s="117"/>
      <c r="D4" s="117"/>
      <c r="E4" s="117"/>
      <c r="F4" s="117"/>
      <c r="G4" s="117"/>
      <c r="H4" s="26"/>
      <c r="I4" s="26"/>
      <c r="J4" s="26"/>
      <c r="K4" s="26"/>
      <c r="L4" s="27"/>
      <c r="M4" s="27"/>
      <c r="N4" s="27"/>
      <c r="O4" s="27"/>
      <c r="P4" s="28"/>
    </row>
    <row r="5" spans="1:16" ht="8.1" customHeight="1" x14ac:dyDescent="0.25">
      <c r="A5" s="20"/>
      <c r="B5" s="20"/>
      <c r="C5" s="29"/>
      <c r="D5" s="29"/>
      <c r="E5" s="29"/>
      <c r="F5" s="29"/>
      <c r="G5" s="29"/>
      <c r="H5" s="29"/>
      <c r="I5" s="29"/>
      <c r="J5" s="29"/>
      <c r="K5" s="29"/>
      <c r="L5" s="20"/>
      <c r="M5" s="20"/>
      <c r="N5" s="20"/>
      <c r="O5" s="20"/>
      <c r="P5" s="20"/>
    </row>
    <row r="6" spans="1:16" ht="15" customHeight="1" x14ac:dyDescent="0.25">
      <c r="A6" s="20"/>
      <c r="B6" s="30" t="s">
        <v>14</v>
      </c>
      <c r="C6" s="31"/>
      <c r="D6" s="32"/>
      <c r="E6" s="32"/>
      <c r="F6" s="32"/>
      <c r="G6" s="33"/>
      <c r="H6" s="20"/>
      <c r="I6" s="20"/>
      <c r="J6" s="30" t="s">
        <v>15</v>
      </c>
      <c r="K6" s="31"/>
      <c r="L6" s="32"/>
      <c r="M6" s="32"/>
      <c r="N6" s="32"/>
      <c r="O6" s="33"/>
      <c r="P6" s="20"/>
    </row>
    <row r="7" spans="1:16" ht="8.1" customHeight="1" x14ac:dyDescent="0.25">
      <c r="A7" s="20"/>
      <c r="B7" s="34"/>
      <c r="C7" s="35"/>
      <c r="D7" s="35"/>
      <c r="E7" s="36"/>
      <c r="F7" s="36"/>
      <c r="G7" s="37"/>
      <c r="H7" s="20"/>
      <c r="I7" s="20"/>
      <c r="J7" s="34"/>
      <c r="K7" s="35"/>
      <c r="L7" s="35"/>
      <c r="M7" s="35"/>
      <c r="N7" s="35"/>
      <c r="O7" s="37"/>
      <c r="P7" s="20"/>
    </row>
    <row r="8" spans="1:16" ht="15" customHeight="1" x14ac:dyDescent="0.25">
      <c r="A8" s="20"/>
      <c r="B8" s="38"/>
      <c r="C8" s="39" t="s">
        <v>16</v>
      </c>
      <c r="D8" s="40"/>
      <c r="E8" s="113"/>
      <c r="F8" s="106" t="s">
        <v>183</v>
      </c>
      <c r="G8" s="41"/>
      <c r="H8" s="42"/>
      <c r="I8" s="42"/>
      <c r="J8" s="43"/>
      <c r="K8" s="44" t="s">
        <v>20</v>
      </c>
      <c r="L8" s="44"/>
      <c r="M8" s="45"/>
      <c r="N8" s="99">
        <v>120</v>
      </c>
      <c r="O8" s="40"/>
      <c r="P8" s="20"/>
    </row>
    <row r="9" spans="1:16" ht="15" customHeight="1" x14ac:dyDescent="0.25">
      <c r="A9" s="20"/>
      <c r="B9" s="38"/>
      <c r="C9" s="39" t="s">
        <v>224</v>
      </c>
      <c r="D9" s="40"/>
      <c r="E9" s="113"/>
      <c r="F9" s="105">
        <v>2000</v>
      </c>
      <c r="G9" s="40"/>
      <c r="H9" s="42"/>
      <c r="I9" s="42"/>
      <c r="J9" s="43"/>
      <c r="K9" s="44" t="s">
        <v>19</v>
      </c>
      <c r="L9" s="44"/>
      <c r="M9" s="45"/>
      <c r="N9" s="100">
        <v>0.08</v>
      </c>
      <c r="O9" s="40"/>
      <c r="P9" s="20"/>
    </row>
    <row r="10" spans="1:16" ht="15" customHeight="1" x14ac:dyDescent="0.25">
      <c r="A10" s="20"/>
      <c r="B10" s="46"/>
      <c r="C10" s="39" t="s">
        <v>225</v>
      </c>
      <c r="D10" s="50"/>
      <c r="E10" s="114" t="s">
        <v>23</v>
      </c>
      <c r="F10" s="106" t="s">
        <v>243</v>
      </c>
      <c r="G10" s="40"/>
      <c r="H10" s="42"/>
      <c r="I10" s="42"/>
      <c r="J10" s="43"/>
      <c r="K10" s="44" t="s">
        <v>22</v>
      </c>
      <c r="L10" s="44"/>
      <c r="M10" s="45"/>
      <c r="N10" s="97">
        <v>20</v>
      </c>
      <c r="O10" s="40"/>
      <c r="P10" s="20"/>
    </row>
    <row r="11" spans="1:16" ht="15" customHeight="1" x14ac:dyDescent="0.25">
      <c r="A11" s="20"/>
      <c r="B11" s="46"/>
      <c r="C11" s="39" t="s">
        <v>226</v>
      </c>
      <c r="D11" s="40"/>
      <c r="E11" s="114" t="s">
        <v>23</v>
      </c>
      <c r="F11" s="107">
        <v>1000000</v>
      </c>
      <c r="G11" s="40"/>
      <c r="H11" s="42"/>
      <c r="I11" s="42"/>
      <c r="J11" s="43"/>
      <c r="K11" s="44" t="s">
        <v>32</v>
      </c>
      <c r="L11" s="44"/>
      <c r="M11" s="45"/>
      <c r="N11" s="101">
        <v>0.6</v>
      </c>
      <c r="O11" s="40"/>
      <c r="P11" s="20"/>
    </row>
    <row r="12" spans="1:16" ht="15" customHeight="1" x14ac:dyDescent="0.25">
      <c r="A12" s="20"/>
      <c r="B12" s="38"/>
      <c r="C12" s="44" t="s">
        <v>205</v>
      </c>
      <c r="D12" s="45"/>
      <c r="E12" s="115"/>
      <c r="F12" s="106">
        <v>730</v>
      </c>
      <c r="G12" s="40"/>
      <c r="H12" s="42"/>
      <c r="I12" s="42"/>
      <c r="J12" s="43"/>
      <c r="K12" s="44" t="s">
        <v>30</v>
      </c>
      <c r="L12" s="44"/>
      <c r="M12" s="45"/>
      <c r="N12" s="99">
        <v>300</v>
      </c>
      <c r="O12" s="40"/>
      <c r="P12" s="20"/>
    </row>
    <row r="13" spans="1:16" x14ac:dyDescent="0.25">
      <c r="A13" s="20"/>
      <c r="B13" s="38"/>
      <c r="C13" s="44" t="s">
        <v>209</v>
      </c>
      <c r="D13" s="45"/>
      <c r="E13" s="115"/>
      <c r="F13" s="104">
        <f>0.05*F12/45*12-Skaičiavimai!E12</f>
        <v>9.1333333333333346</v>
      </c>
      <c r="G13" s="40"/>
      <c r="H13" s="42"/>
      <c r="I13" s="42"/>
      <c r="J13" s="43"/>
      <c r="K13" s="44" t="s">
        <v>31</v>
      </c>
      <c r="L13" s="44"/>
      <c r="M13" s="45"/>
      <c r="N13" s="101">
        <v>0.3</v>
      </c>
      <c r="O13" s="40"/>
      <c r="P13" s="20"/>
    </row>
    <row r="14" spans="1:16" x14ac:dyDescent="0.25">
      <c r="A14" s="20"/>
      <c r="B14" s="38"/>
      <c r="C14" s="44" t="s">
        <v>34</v>
      </c>
      <c r="D14" s="45"/>
      <c r="E14" s="115"/>
      <c r="F14" s="102">
        <v>1</v>
      </c>
      <c r="G14" s="40"/>
      <c r="H14" s="42"/>
      <c r="I14" s="42"/>
      <c r="J14" s="47"/>
      <c r="K14" s="48"/>
      <c r="L14" s="48"/>
      <c r="M14" s="48"/>
      <c r="N14" s="48"/>
      <c r="O14" s="49"/>
      <c r="P14" s="20"/>
    </row>
    <row r="15" spans="1:16" x14ac:dyDescent="0.25">
      <c r="A15" s="20"/>
      <c r="B15" s="38"/>
      <c r="C15" s="44" t="s">
        <v>21</v>
      </c>
      <c r="D15" s="44"/>
      <c r="E15" s="113"/>
      <c r="F15" s="103">
        <v>18</v>
      </c>
      <c r="G15" s="40"/>
      <c r="H15" s="42"/>
      <c r="I15" s="42"/>
      <c r="J15" s="42"/>
      <c r="O15" s="20"/>
      <c r="P15" s="20"/>
    </row>
    <row r="16" spans="1:16" x14ac:dyDescent="0.25">
      <c r="A16" s="20"/>
      <c r="B16" s="51"/>
      <c r="C16" s="52"/>
      <c r="D16" s="52"/>
      <c r="E16" s="52"/>
      <c r="F16" s="52"/>
      <c r="G16" s="49"/>
      <c r="H16" s="42"/>
      <c r="I16" s="42"/>
      <c r="J16" s="30" t="s">
        <v>24</v>
      </c>
      <c r="K16" s="31"/>
      <c r="L16" s="32"/>
      <c r="M16" s="32"/>
      <c r="N16" s="32"/>
      <c r="O16" s="33"/>
      <c r="P16" s="20"/>
    </row>
    <row r="17" spans="1:16" ht="8.1" customHeight="1" x14ac:dyDescent="0.25">
      <c r="A17" s="20"/>
      <c r="H17" s="42"/>
      <c r="I17" s="42"/>
      <c r="J17" s="43"/>
      <c r="K17" s="53"/>
      <c r="L17" s="54"/>
      <c r="M17" s="54"/>
      <c r="N17" s="54"/>
      <c r="O17" s="55"/>
      <c r="P17" s="20"/>
    </row>
    <row r="18" spans="1:16" x14ac:dyDescent="0.25">
      <c r="A18" s="20"/>
      <c r="B18" s="30" t="s">
        <v>213</v>
      </c>
      <c r="C18" s="31"/>
      <c r="D18" s="32"/>
      <c r="E18" s="32"/>
      <c r="F18" s="32"/>
      <c r="G18" s="33"/>
      <c r="H18" s="42"/>
      <c r="I18" s="42"/>
      <c r="J18" s="43"/>
      <c r="K18" s="53" t="s">
        <v>25</v>
      </c>
      <c r="L18" s="54"/>
      <c r="M18" s="55"/>
      <c r="N18" s="97">
        <v>20</v>
      </c>
      <c r="O18" s="40"/>
      <c r="P18" s="20"/>
    </row>
    <row r="19" spans="1:16" ht="15" customHeight="1" x14ac:dyDescent="0.25">
      <c r="A19" s="20"/>
      <c r="B19" s="34"/>
      <c r="C19" s="35"/>
      <c r="D19" s="35"/>
      <c r="E19" s="36"/>
      <c r="F19" s="36"/>
      <c r="G19" s="37"/>
      <c r="H19" s="42"/>
      <c r="I19" s="42"/>
      <c r="J19" s="43"/>
      <c r="K19" s="53" t="s">
        <v>240</v>
      </c>
      <c r="L19" s="54"/>
      <c r="M19" s="55"/>
      <c r="N19" s="98">
        <v>4.9000000000000002E-2</v>
      </c>
      <c r="O19" s="40"/>
      <c r="P19" s="20"/>
    </row>
    <row r="20" spans="1:16" x14ac:dyDescent="0.25">
      <c r="A20" s="20"/>
      <c r="B20" s="38"/>
      <c r="C20" s="39" t="s">
        <v>204</v>
      </c>
      <c r="D20" s="40"/>
      <c r="E20" s="108"/>
      <c r="F20" s="109">
        <f>Skaičiavimai!E28</f>
        <v>21.063410545492442</v>
      </c>
      <c r="G20" s="41"/>
      <c r="H20" s="42"/>
      <c r="I20" s="42"/>
      <c r="J20" s="43"/>
      <c r="K20" s="53" t="s">
        <v>210</v>
      </c>
      <c r="L20" s="54"/>
      <c r="M20" s="55"/>
      <c r="N20" s="97">
        <v>24</v>
      </c>
      <c r="O20" s="40"/>
      <c r="P20" s="20"/>
    </row>
    <row r="21" spans="1:16" ht="15" customHeight="1" x14ac:dyDescent="0.25">
      <c r="A21" s="20"/>
      <c r="B21" s="38"/>
      <c r="C21" s="39" t="str">
        <f>Skaičiavimai!C37</f>
        <v>Modernizavimo alternatyvos išlaidos bus mažesnės, %</v>
      </c>
      <c r="D21" s="40"/>
      <c r="E21" s="108"/>
      <c r="F21" s="110">
        <f>Skaičiavimai!$AC$37</f>
        <v>-2.0145470392692405E-2</v>
      </c>
      <c r="G21" s="41"/>
      <c r="H21" s="42"/>
      <c r="I21" s="42"/>
      <c r="J21" s="43"/>
      <c r="K21" s="53" t="s">
        <v>242</v>
      </c>
      <c r="L21" s="54"/>
      <c r="M21" s="55"/>
      <c r="N21" s="97" t="s">
        <v>228</v>
      </c>
      <c r="O21" s="40"/>
      <c r="P21" s="20"/>
    </row>
    <row r="22" spans="1:16" ht="8.1" customHeight="1" x14ac:dyDescent="0.25">
      <c r="A22" s="20"/>
      <c r="B22" s="51"/>
      <c r="C22" s="52"/>
      <c r="D22" s="52"/>
      <c r="E22" s="52"/>
      <c r="F22" s="52"/>
      <c r="G22" s="49"/>
      <c r="H22" s="42"/>
      <c r="I22" s="42"/>
      <c r="J22" s="47"/>
      <c r="K22" s="52"/>
      <c r="L22" s="48"/>
      <c r="M22" s="48"/>
      <c r="N22" s="48"/>
      <c r="O22" s="56"/>
      <c r="P22" s="20"/>
    </row>
    <row r="23" spans="1:16" x14ac:dyDescent="0.25">
      <c r="A23" s="20"/>
      <c r="H23" s="42"/>
      <c r="I23" s="42"/>
      <c r="P23" s="20"/>
    </row>
    <row r="24" spans="1:16" x14ac:dyDescent="0.25">
      <c r="A24" s="20"/>
      <c r="B24" s="30" t="s">
        <v>214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57"/>
      <c r="P24" s="20"/>
    </row>
    <row r="25" spans="1:16" x14ac:dyDescent="0.25">
      <c r="B25" s="76"/>
      <c r="C25" s="54"/>
      <c r="D25" s="54"/>
      <c r="E25" s="54"/>
      <c r="F25" s="77"/>
      <c r="G25" s="54"/>
      <c r="H25" s="54"/>
      <c r="I25" s="54"/>
      <c r="J25" s="54"/>
      <c r="K25" s="54"/>
      <c r="L25" s="54"/>
      <c r="M25" s="54"/>
      <c r="N25" s="54"/>
      <c r="O25" s="55"/>
    </row>
    <row r="26" spans="1:16" x14ac:dyDescent="0.25">
      <c r="B26" s="76"/>
      <c r="C26" s="54"/>
      <c r="D26" s="54"/>
      <c r="E26" s="54"/>
      <c r="F26" s="77"/>
      <c r="G26" s="54"/>
      <c r="H26" s="54"/>
      <c r="I26" s="54"/>
      <c r="J26" s="54"/>
      <c r="K26" s="54"/>
      <c r="L26" s="54"/>
      <c r="M26" s="54"/>
      <c r="N26" s="54"/>
      <c r="O26" s="55"/>
    </row>
    <row r="27" spans="1:16" x14ac:dyDescent="0.25">
      <c r="B27" s="76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5"/>
    </row>
    <row r="28" spans="1:16" x14ac:dyDescent="0.25">
      <c r="B28" s="76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5"/>
    </row>
    <row r="29" spans="1:16" x14ac:dyDescent="0.25">
      <c r="B29" s="76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5"/>
    </row>
    <row r="30" spans="1:16" x14ac:dyDescent="0.25">
      <c r="B30" s="76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5"/>
    </row>
    <row r="31" spans="1:16" x14ac:dyDescent="0.25">
      <c r="B31" s="76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5"/>
    </row>
    <row r="32" spans="1:16" x14ac:dyDescent="0.25">
      <c r="B32" s="76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5"/>
    </row>
    <row r="33" spans="2:15" x14ac:dyDescent="0.25">
      <c r="B33" s="76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5"/>
    </row>
    <row r="34" spans="2:15" x14ac:dyDescent="0.25">
      <c r="B34" s="76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5"/>
    </row>
    <row r="35" spans="2:15" x14ac:dyDescent="0.25">
      <c r="B35" s="76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5"/>
    </row>
    <row r="36" spans="2:15" ht="8.1" customHeight="1" x14ac:dyDescent="0.25">
      <c r="B36" s="76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5"/>
    </row>
    <row r="37" spans="2:15" x14ac:dyDescent="0.25">
      <c r="B37" s="76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5"/>
    </row>
    <row r="38" spans="2:15" x14ac:dyDescent="0.25">
      <c r="B38" s="76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5"/>
    </row>
    <row r="39" spans="2:15" ht="8.1" customHeight="1" x14ac:dyDescent="0.25">
      <c r="B39" s="76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5"/>
    </row>
    <row r="40" spans="2:15" x14ac:dyDescent="0.25">
      <c r="B40" s="76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5"/>
    </row>
    <row r="41" spans="2:15" x14ac:dyDescent="0.25">
      <c r="B41" s="76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5"/>
    </row>
    <row r="42" spans="2:15" x14ac:dyDescent="0.25">
      <c r="B42" s="76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5"/>
    </row>
    <row r="43" spans="2:15" x14ac:dyDescent="0.25">
      <c r="B43" s="76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5"/>
    </row>
    <row r="44" spans="2:15" x14ac:dyDescent="0.25">
      <c r="B44" s="76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5"/>
    </row>
    <row r="45" spans="2:15" x14ac:dyDescent="0.25">
      <c r="B45" s="76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5"/>
    </row>
    <row r="46" spans="2:15" x14ac:dyDescent="0.25">
      <c r="B46" s="76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5"/>
    </row>
    <row r="47" spans="2:15" x14ac:dyDescent="0.25">
      <c r="B47" s="76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</row>
    <row r="48" spans="2:15" x14ac:dyDescent="0.25">
      <c r="B48" s="7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56"/>
    </row>
    <row r="49" x14ac:dyDescent="0.25"/>
    <row r="51" ht="8.1" hidden="1" customHeight="1" x14ac:dyDescent="0.25"/>
  </sheetData>
  <sheetProtection algorithmName="SHA-512" hashValue="oW3JTj5j4vAq5SCgwmFlcmC6ocKB5kDSCij5yyTsC1QX5UTwN3+LZVW5+1cbYfkSnzr8h6tw1BN62NRDkuR5UQ==" saltValue="2Ex2Du8L7ea0zYaMwrUU6A==" spinCount="100000" sheet="1" objects="1" scenarios="1" selectLockedCells="1"/>
  <mergeCells count="1">
    <mergeCell ref="B3:G4"/>
  </mergeCells>
  <conditionalFormatting sqref="F21">
    <cfRule type="cellIs" dxfId="18" priority="1" operator="greaterThan">
      <formula>0</formula>
    </cfRule>
  </conditionalFormatting>
  <dataValidations count="5">
    <dataValidation type="list" allowBlank="1" showInputMessage="1" showErrorMessage="1" sqref="F14" xr:uid="{4EE558E5-1ED7-4A6F-811B-40834D99D3C1}">
      <formula1>Kaupimas</formula1>
    </dataValidation>
    <dataValidation type="list" allowBlank="1" showInputMessage="1" showErrorMessage="1" sqref="N11" xr:uid="{B055C8C6-B452-4E0E-96A8-E1F570B30DB9}">
      <formula1>Sutaupymas</formula1>
    </dataValidation>
    <dataValidation type="list" allowBlank="1" showInputMessage="1" showErrorMessage="1" sqref="N13" xr:uid="{AF08748A-3C03-4612-B60C-EC766101D4B9}">
      <formula1>Subsidija</formula1>
    </dataValidation>
    <dataValidation type="list" allowBlank="1" showInputMessage="1" showErrorMessage="1" sqref="N20" xr:uid="{A6F29C5E-02A0-4A2B-A2B1-1DA84A9B1E2E}">
      <formula1>Atidėjimas</formula1>
    </dataValidation>
    <dataValidation type="list" allowBlank="1" showInputMessage="1" showErrorMessage="1" sqref="N18" xr:uid="{EF95AE93-5137-40CA-A4D8-06044339F617}">
      <formula1>Paskola</formula1>
    </dataValidation>
  </dataValidations>
  <hyperlinks>
    <hyperlink ref="E10" r:id="rId1" xr:uid="{EE8C42CF-01F5-44A3-9420-0698F3D0AB43}"/>
    <hyperlink ref="E11" r:id="rId2" xr:uid="{41A4B5B8-886D-40F5-B9DF-BF891F175F2D}"/>
  </hyperlinks>
  <pageMargins left="0.23622047244094491" right="0.23622047244094491" top="0.74803149606299213" bottom="0.74803149606299213" header="0.31496062992125984" footer="0.31496062992125984"/>
  <pageSetup scale="70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6" name="Button 22">
              <controlPr defaultSize="0" print="0" autoFill="0" autoPict="0" macro="[0]!SimplePrintToPDF">
                <anchor moveWithCells="1" sizeWithCells="1">
                  <from>
                    <xdr:col>13</xdr:col>
                    <xdr:colOff>209550</xdr:colOff>
                    <xdr:row>2</xdr:row>
                    <xdr:rowOff>38100</xdr:rowOff>
                  </from>
                  <to>
                    <xdr:col>15</xdr:col>
                    <xdr:colOff>171450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D813B39-CDEA-4AA5-BBBE-5300AA8CAEFD}">
          <x14:formula1>
            <xm:f>Klasifikatorius!$D$2:$D$36</xm:f>
          </x14:formula1>
          <xm:sqref>N12</xm:sqref>
        </x14:dataValidation>
        <x14:dataValidation type="list" allowBlank="1" showInputMessage="1" showErrorMessage="1" xr:uid="{561F3B92-D920-4777-8200-FBA138606A21}">
          <x14:formula1>
            <xm:f>Klasifikatorius!$R$3:$R$62</xm:f>
          </x14:formula1>
          <xm:sqref>F8</xm:sqref>
        </x14:dataValidation>
        <x14:dataValidation type="list" allowBlank="1" showInputMessage="1" showErrorMessage="1" xr:uid="{7AB0DAE4-2B03-483F-85C1-36D41E83E78B}">
          <x14:formula1>
            <xm:f>Klasifikatorius!$F$2:$F$10</xm:f>
          </x14:formula1>
          <xm:sqref>N10 F15</xm:sqref>
        </x14:dataValidation>
        <x14:dataValidation type="list" allowBlank="1" showInputMessage="1" showErrorMessage="1" xr:uid="{CDE7B9D8-F6CE-4BBE-AEB6-C0FB6F4BA7CB}">
          <x14:formula1>
            <xm:f>Grafikas!$AB$4:$AB$5</xm:f>
          </x14:formula1>
          <xm:sqref>N21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5EF5-2D6E-4F37-B6B7-C32C032F7099}">
  <sheetPr codeName="Sheet4">
    <tabColor rgb="FF79BC43"/>
  </sheetPr>
  <dimension ref="A1:AE35"/>
  <sheetViews>
    <sheetView showGridLines="0" workbookViewId="0">
      <selection activeCell="G10" sqref="G10"/>
    </sheetView>
  </sheetViews>
  <sheetFormatPr defaultColWidth="0" defaultRowHeight="15" zeroHeight="1" x14ac:dyDescent="0.25"/>
  <cols>
    <col min="1" max="2" width="3.28515625" customWidth="1"/>
    <col min="3" max="3" width="63.42578125" customWidth="1"/>
    <col min="4" max="4" width="10.42578125" customWidth="1"/>
    <col min="5" max="29" width="12.7109375" customWidth="1"/>
    <col min="30" max="31" width="3.28515625" customWidth="1"/>
    <col min="32" max="16384" width="9.140625" hidden="1"/>
  </cols>
  <sheetData>
    <row r="1" spans="1:31" x14ac:dyDescent="0.25"/>
    <row r="2" spans="1:31" x14ac:dyDescent="0.25"/>
    <row r="3" spans="1:31" x14ac:dyDescent="0.25">
      <c r="A3" s="81"/>
      <c r="B3" s="81"/>
      <c r="C3" s="121" t="s">
        <v>222</v>
      </c>
      <c r="D3" s="121"/>
      <c r="E3" s="121"/>
      <c r="F3" s="121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</row>
    <row r="4" spans="1:31" x14ac:dyDescent="0.25">
      <c r="A4" s="81"/>
      <c r="B4" s="81"/>
      <c r="C4" s="121"/>
      <c r="D4" s="121"/>
      <c r="E4" s="121"/>
      <c r="F4" s="121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</row>
    <row r="5" spans="1:31" x14ac:dyDescent="0.25"/>
    <row r="6" spans="1:31" ht="18.75" x14ac:dyDescent="0.25">
      <c r="B6" s="1" t="s">
        <v>223</v>
      </c>
      <c r="C6" s="2"/>
      <c r="D6" s="2"/>
      <c r="E6" s="2"/>
      <c r="F6" s="2"/>
      <c r="G6" s="2"/>
      <c r="H6" s="2"/>
      <c r="I6" s="3"/>
      <c r="J6" s="118"/>
      <c r="K6" s="118"/>
      <c r="L6" s="118"/>
      <c r="M6" s="118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4"/>
    </row>
    <row r="7" spans="1:31" x14ac:dyDescent="0.25">
      <c r="B7" s="5"/>
      <c r="C7" s="6" t="s">
        <v>1</v>
      </c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31" x14ac:dyDescent="0.25">
      <c r="B8" s="5"/>
      <c r="C8" s="6" t="s">
        <v>2</v>
      </c>
      <c r="D8" s="6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8"/>
    </row>
    <row r="9" spans="1:31" x14ac:dyDescent="0.25">
      <c r="B9" s="5"/>
      <c r="C9" s="6" t="s">
        <v>216</v>
      </c>
      <c r="D9" s="6"/>
      <c r="E9" s="111">
        <f>Skaičiavimai!E6*'Atsipirkimo vertinimas'!$F$9</f>
        <v>19200</v>
      </c>
      <c r="F9" s="111">
        <f>Skaičiavimai!F6*'Atsipirkimo vertinimas'!$F$9</f>
        <v>19200</v>
      </c>
      <c r="G9" s="111">
        <f>Skaičiavimai!G6*'Atsipirkimo vertinimas'!$F$9</f>
        <v>19200</v>
      </c>
      <c r="H9" s="111">
        <f>Skaičiavimai!H6*'Atsipirkimo vertinimas'!$F$9</f>
        <v>19200</v>
      </c>
      <c r="I9" s="111">
        <f>Skaičiavimai!I6*'Atsipirkimo vertinimas'!$F$9</f>
        <v>19200</v>
      </c>
      <c r="J9" s="111">
        <f>Skaičiavimai!J6*'Atsipirkimo vertinimas'!$F$9</f>
        <v>19200</v>
      </c>
      <c r="K9" s="111">
        <f>Skaičiavimai!K6*'Atsipirkimo vertinimas'!$F$9</f>
        <v>19200</v>
      </c>
      <c r="L9" s="111">
        <f>Skaičiavimai!L6*'Atsipirkimo vertinimas'!$F$9</f>
        <v>19200</v>
      </c>
      <c r="M9" s="111">
        <f>Skaičiavimai!M6*'Atsipirkimo vertinimas'!$F$9</f>
        <v>19200</v>
      </c>
      <c r="N9" s="111">
        <f>Skaičiavimai!N6*'Atsipirkimo vertinimas'!$F$9</f>
        <v>19200</v>
      </c>
      <c r="O9" s="111">
        <f>Skaičiavimai!O6*'Atsipirkimo vertinimas'!$F$9</f>
        <v>19200</v>
      </c>
      <c r="P9" s="111">
        <f>Skaičiavimai!P6*'Atsipirkimo vertinimas'!$F$9</f>
        <v>19200</v>
      </c>
      <c r="Q9" s="111">
        <f>Skaičiavimai!Q6*'Atsipirkimo vertinimas'!$F$9</f>
        <v>19200</v>
      </c>
      <c r="R9" s="111">
        <f>Skaičiavimai!R6*'Atsipirkimo vertinimas'!$F$9</f>
        <v>19200</v>
      </c>
      <c r="S9" s="111">
        <f>Skaičiavimai!S6*'Atsipirkimo vertinimas'!$F$9</f>
        <v>19200</v>
      </c>
      <c r="T9" s="111">
        <f>Skaičiavimai!T6*'Atsipirkimo vertinimas'!$F$9</f>
        <v>19200</v>
      </c>
      <c r="U9" s="111">
        <f>Skaičiavimai!U6*'Atsipirkimo vertinimas'!$F$9</f>
        <v>19200</v>
      </c>
      <c r="V9" s="111">
        <f>Skaičiavimai!V6*'Atsipirkimo vertinimas'!$F$9</f>
        <v>19200</v>
      </c>
      <c r="W9" s="111">
        <f>Skaičiavimai!W6*'Atsipirkimo vertinimas'!$F$9</f>
        <v>19200</v>
      </c>
      <c r="X9" s="111">
        <f>Skaičiavimai!X6*'Atsipirkimo vertinimas'!$F$9</f>
        <v>19200</v>
      </c>
      <c r="Y9" s="111">
        <f>Skaičiavimai!Y6*'Atsipirkimo vertinimas'!$F$9</f>
        <v>19200</v>
      </c>
      <c r="Z9" s="111">
        <f>Skaičiavimai!Z6*'Atsipirkimo vertinimas'!$F$9</f>
        <v>19200</v>
      </c>
      <c r="AA9" s="111">
        <f>Skaičiavimai!AA6*'Atsipirkimo vertinimas'!$F$9</f>
        <v>0</v>
      </c>
      <c r="AB9" s="111">
        <f>Skaičiavimai!AB6*'Atsipirkimo vertinimas'!$F$9</f>
        <v>0</v>
      </c>
      <c r="AC9" s="111">
        <f>Skaičiavimai!AC6*'Atsipirkimo vertinimas'!$F$9</f>
        <v>0</v>
      </c>
      <c r="AD9" s="8"/>
    </row>
    <row r="10" spans="1:31" x14ac:dyDescent="0.25">
      <c r="B10" s="11"/>
      <c r="C10" s="6" t="s">
        <v>215</v>
      </c>
      <c r="D10" s="6"/>
      <c r="E10" s="111">
        <f>Skaičiavimai!E7*'Atsipirkimo vertinimas'!$F$9</f>
        <v>18266.666666666668</v>
      </c>
      <c r="F10" s="111">
        <f>Skaičiavimai!F7*'Atsipirkimo vertinimas'!$F$9</f>
        <v>18266.666666666668</v>
      </c>
      <c r="G10" s="111">
        <f>Skaičiavimai!G7*'Atsipirkimo vertinimas'!$F$9</f>
        <v>18266.666666666668</v>
      </c>
      <c r="H10" s="111">
        <f>Skaičiavimai!H7*'Atsipirkimo vertinimas'!$F$9</f>
        <v>18266.666666666668</v>
      </c>
      <c r="I10" s="111">
        <f>Skaičiavimai!I7*'Atsipirkimo vertinimas'!$F$9</f>
        <v>18266.666666666668</v>
      </c>
      <c r="J10" s="111">
        <f>Skaičiavimai!J7*'Atsipirkimo vertinimas'!$F$9</f>
        <v>18266.666666666668</v>
      </c>
      <c r="K10" s="111">
        <f>Skaičiavimai!K7*'Atsipirkimo vertinimas'!$F$9</f>
        <v>18266.666666666668</v>
      </c>
      <c r="L10" s="111">
        <f>Skaičiavimai!L7*'Atsipirkimo vertinimas'!$F$9</f>
        <v>18266.666666666668</v>
      </c>
      <c r="M10" s="111">
        <f>Skaičiavimai!M7*'Atsipirkimo vertinimas'!$F$9</f>
        <v>18266.666666666668</v>
      </c>
      <c r="N10" s="111">
        <f>Skaičiavimai!N7*'Atsipirkimo vertinimas'!$F$9</f>
        <v>18266.666666666668</v>
      </c>
      <c r="O10" s="111">
        <f>Skaičiavimai!O7*'Atsipirkimo vertinimas'!$F$9</f>
        <v>18266.666666666668</v>
      </c>
      <c r="P10" s="111">
        <f>Skaičiavimai!P7*'Atsipirkimo vertinimas'!$F$9</f>
        <v>18266.666666666668</v>
      </c>
      <c r="Q10" s="111">
        <f>Skaičiavimai!Q7*'Atsipirkimo vertinimas'!$F$9</f>
        <v>18266.666666666668</v>
      </c>
      <c r="R10" s="111">
        <f>Skaičiavimai!R7*'Atsipirkimo vertinimas'!$F$9</f>
        <v>18266.666666666668</v>
      </c>
      <c r="S10" s="111">
        <f>Skaičiavimai!S7*'Atsipirkimo vertinimas'!$F$9</f>
        <v>18266.666666666668</v>
      </c>
      <c r="T10" s="111">
        <f>Skaičiavimai!T7*'Atsipirkimo vertinimas'!$F$9</f>
        <v>18266.666666666668</v>
      </c>
      <c r="U10" s="111">
        <f>Skaičiavimai!U7*'Atsipirkimo vertinimas'!$F$9</f>
        <v>18266.666666666668</v>
      </c>
      <c r="V10" s="111">
        <f>Skaičiavimai!V7*'Atsipirkimo vertinimas'!$F$9</f>
        <v>18266.666666666668</v>
      </c>
      <c r="W10" s="111">
        <f>Skaičiavimai!W7*'Atsipirkimo vertinimas'!$F$9</f>
        <v>18266.666666666668</v>
      </c>
      <c r="X10" s="111">
        <f>Skaičiavimai!X7*'Atsipirkimo vertinimas'!$F$9</f>
        <v>18266.666666666668</v>
      </c>
      <c r="Y10" s="111">
        <f>Skaičiavimai!Y7*'Atsipirkimo vertinimas'!$F$9</f>
        <v>18266.666666666668</v>
      </c>
      <c r="Z10" s="111">
        <f>Skaičiavimai!Z7*'Atsipirkimo vertinimas'!$F$9</f>
        <v>18266.666666666668</v>
      </c>
      <c r="AA10" s="111">
        <f>Skaičiavimai!AA7*'Atsipirkimo vertinimas'!$F$9</f>
        <v>0</v>
      </c>
      <c r="AB10" s="111">
        <f>Skaičiavimai!AB7*'Atsipirkimo vertinimas'!$F$9</f>
        <v>0</v>
      </c>
      <c r="AC10" s="111">
        <f>Skaičiavimai!AC7*'Atsipirkimo vertinimas'!$F$9</f>
        <v>0</v>
      </c>
      <c r="AD10" s="8"/>
    </row>
    <row r="11" spans="1:31" x14ac:dyDescent="0.25">
      <c r="B11" s="11"/>
      <c r="C11" s="6" t="s">
        <v>217</v>
      </c>
      <c r="D11" s="6"/>
      <c r="E11" s="111">
        <f>Skaičiavimai!E8*'Atsipirkimo vertinimas'!$F$9</f>
        <v>1200</v>
      </c>
      <c r="F11" s="111">
        <f>Skaičiavimai!F8*'Atsipirkimo vertinimas'!$F$9</f>
        <v>1200</v>
      </c>
      <c r="G11" s="111">
        <f>Skaičiavimai!G8*'Atsipirkimo vertinimas'!$F$9</f>
        <v>1200</v>
      </c>
      <c r="H11" s="111">
        <f>Skaičiavimai!H8*'Atsipirkimo vertinimas'!$F$9</f>
        <v>1200</v>
      </c>
      <c r="I11" s="111">
        <f>Skaičiavimai!I8*'Atsipirkimo vertinimas'!$F$9</f>
        <v>1200</v>
      </c>
      <c r="J11" s="111">
        <f>Skaičiavimai!J8*'Atsipirkimo vertinimas'!$F$9</f>
        <v>1200</v>
      </c>
      <c r="K11" s="111">
        <f>Skaičiavimai!K8*'Atsipirkimo vertinimas'!$F$9</f>
        <v>1200</v>
      </c>
      <c r="L11" s="111">
        <f>Skaičiavimai!L8*'Atsipirkimo vertinimas'!$F$9</f>
        <v>1200</v>
      </c>
      <c r="M11" s="111">
        <f>Skaičiavimai!M8*'Atsipirkimo vertinimas'!$F$9</f>
        <v>1200</v>
      </c>
      <c r="N11" s="111">
        <f>Skaičiavimai!N8*'Atsipirkimo vertinimas'!$F$9</f>
        <v>1200</v>
      </c>
      <c r="O11" s="111">
        <f>Skaičiavimai!O8*'Atsipirkimo vertinimas'!$F$9</f>
        <v>1200</v>
      </c>
      <c r="P11" s="111">
        <f>Skaičiavimai!P8*'Atsipirkimo vertinimas'!$F$9</f>
        <v>1200</v>
      </c>
      <c r="Q11" s="111">
        <f>Skaičiavimai!Q8*'Atsipirkimo vertinimas'!$F$9</f>
        <v>1200</v>
      </c>
      <c r="R11" s="111">
        <f>Skaičiavimai!R8*'Atsipirkimo vertinimas'!$F$9</f>
        <v>1200</v>
      </c>
      <c r="S11" s="111">
        <f>Skaičiavimai!S8*'Atsipirkimo vertinimas'!$F$9</f>
        <v>1200</v>
      </c>
      <c r="T11" s="111">
        <f>Skaičiavimai!T8*'Atsipirkimo vertinimas'!$F$9</f>
        <v>1200</v>
      </c>
      <c r="U11" s="111">
        <f>Skaičiavimai!U8*'Atsipirkimo vertinimas'!$F$9</f>
        <v>1200</v>
      </c>
      <c r="V11" s="111">
        <f>Skaičiavimai!V8*'Atsipirkimo vertinimas'!$F$9</f>
        <v>1200</v>
      </c>
      <c r="W11" s="111">
        <f>Skaičiavimai!W8*'Atsipirkimo vertinimas'!$F$9</f>
        <v>1200</v>
      </c>
      <c r="X11" s="111">
        <f>Skaičiavimai!X8*'Atsipirkimo vertinimas'!$F$9</f>
        <v>1200</v>
      </c>
      <c r="Y11" s="111">
        <f>Skaičiavimai!Y8*'Atsipirkimo vertinimas'!$F$9</f>
        <v>1200</v>
      </c>
      <c r="Z11" s="111">
        <f>Skaičiavimai!Z8*'Atsipirkimo vertinimas'!$F$9</f>
        <v>1200</v>
      </c>
      <c r="AA11" s="111">
        <f>Skaičiavimai!AA8*'Atsipirkimo vertinimas'!$F$9</f>
        <v>0</v>
      </c>
      <c r="AB11" s="111">
        <f>Skaičiavimai!AB8*'Atsipirkimo vertinimas'!$F$9</f>
        <v>0</v>
      </c>
      <c r="AC11" s="111">
        <f>Skaičiavimai!AC8*'Atsipirkimo vertinimas'!$F$9</f>
        <v>0</v>
      </c>
      <c r="AD11" s="8"/>
    </row>
    <row r="12" spans="1:31" x14ac:dyDescent="0.25">
      <c r="B12" s="5"/>
      <c r="C12" s="12" t="s">
        <v>3</v>
      </c>
      <c r="D12" s="12"/>
      <c r="E12" s="111">
        <f>Skaičiavimai!E9*'Atsipirkimo vertinimas'!$F$9</f>
        <v>37179.48717948718</v>
      </c>
      <c r="F12" s="111">
        <f>Skaičiavimai!F9*'Atsipirkimo vertinimas'!$F$9</f>
        <v>35749.50690335306</v>
      </c>
      <c r="G12" s="111">
        <f>Skaičiavimai!G9*'Atsipirkimo vertinimas'!$F$9</f>
        <v>34374.525868608711</v>
      </c>
      <c r="H12" s="111">
        <f>Skaičiavimai!H9*'Atsipirkimo vertinimas'!$F$9</f>
        <v>33052.42871981606</v>
      </c>
      <c r="I12" s="111">
        <f>Skaičiavimai!I9*'Atsipirkimo vertinimas'!$F$9</f>
        <v>31781.181461361597</v>
      </c>
      <c r="J12" s="111">
        <f>Skaičiavimai!J9*'Atsipirkimo vertinimas'!$F$9</f>
        <v>30558.828328232306</v>
      </c>
      <c r="K12" s="111">
        <f>Skaičiavimai!K9*'Atsipirkimo vertinimas'!$F$9</f>
        <v>29383.488777146449</v>
      </c>
      <c r="L12" s="111">
        <f>Skaičiavimai!L9*'Atsipirkimo vertinimas'!$F$9</f>
        <v>28253.354593410044</v>
      </c>
      <c r="M12" s="111">
        <f>Skaičiavimai!M9*'Atsipirkimo vertinimas'!$F$9</f>
        <v>27166.687109048111</v>
      </c>
      <c r="N12" s="111">
        <f>Skaičiavimai!N9*'Atsipirkimo vertinimas'!$F$9</f>
        <v>26121.814527930881</v>
      </c>
      <c r="O12" s="111">
        <f>Skaičiavimai!O9*'Atsipirkimo vertinimas'!$F$9</f>
        <v>25117.129353779696</v>
      </c>
      <c r="P12" s="111">
        <f>Skaičiavimai!P9*'Atsipirkimo vertinimas'!$F$9</f>
        <v>24151.085917095854</v>
      </c>
      <c r="Q12" s="111">
        <f>Skaičiavimai!Q9*'Atsipirkimo vertinimas'!$F$9</f>
        <v>23222.197997207553</v>
      </c>
      <c r="R12" s="111">
        <f>Skaičiavimai!R9*'Atsipirkimo vertinimas'!$F$9</f>
        <v>22329.036535776497</v>
      </c>
      <c r="S12" s="111">
        <f>Skaičiavimai!S9*'Atsipirkimo vertinimas'!$F$9</f>
        <v>21470.227438246628</v>
      </c>
      <c r="T12" s="111">
        <f>Skaičiavimai!T9*'Atsipirkimo vertinimas'!$F$9</f>
        <v>20644.449459852523</v>
      </c>
      <c r="U12" s="111">
        <f>Skaičiavimai!U9*'Atsipirkimo vertinimas'!$F$9</f>
        <v>19850.432172935118</v>
      </c>
      <c r="V12" s="111">
        <f>Skaičiavimai!V9*'Atsipirkimo vertinimas'!$F$9</f>
        <v>19086.954012437611</v>
      </c>
      <c r="W12" s="111">
        <f>Skaičiavimai!W9*'Atsipirkimo vertinimas'!$F$9</f>
        <v>18352.840396574629</v>
      </c>
      <c r="X12" s="111">
        <f>Skaičiavimai!X9*'Atsipirkimo vertinimas'!$F$9</f>
        <v>17646.961919783294</v>
      </c>
      <c r="Y12" s="111">
        <f>Skaičiavimai!Y9*'Atsipirkimo vertinimas'!$F$9</f>
        <v>16968.232615176243</v>
      </c>
      <c r="Z12" s="111">
        <f>Skaičiavimai!Z9*'Atsipirkimo vertinimas'!$F$9</f>
        <v>16315.608283823309</v>
      </c>
      <c r="AA12" s="111">
        <f>Skaičiavimai!AA9*'Atsipirkimo vertinimas'!$F$9</f>
        <v>0</v>
      </c>
      <c r="AB12" s="111">
        <f>Skaičiavimai!AB9*'Atsipirkimo vertinimas'!$F$9</f>
        <v>0</v>
      </c>
      <c r="AC12" s="111">
        <f>Skaičiavimai!AC9*'Atsipirkimo vertinimas'!$F$9</f>
        <v>0</v>
      </c>
      <c r="AD12" s="8"/>
    </row>
    <row r="13" spans="1:31" x14ac:dyDescent="0.25">
      <c r="B13" s="5"/>
      <c r="C13" s="12" t="s">
        <v>4</v>
      </c>
      <c r="D13" s="12"/>
      <c r="E13" s="111">
        <f>Skaičiavimai!E10*'Atsipirkimo vertinimas'!$F$9</f>
        <v>37179.48717948718</v>
      </c>
      <c r="F13" s="111">
        <f>Skaičiavimai!F10*'Atsipirkimo vertinimas'!$F$9</f>
        <v>72928.994082840232</v>
      </c>
      <c r="G13" s="111">
        <f>Skaičiavimai!G10*'Atsipirkimo vertinimas'!$F$9</f>
        <v>107303.51995144895</v>
      </c>
      <c r="H13" s="111">
        <f>Skaičiavimai!H10*'Atsipirkimo vertinimas'!$F$9</f>
        <v>140355.94867126504</v>
      </c>
      <c r="I13" s="111">
        <f>Skaičiavimai!I10*'Atsipirkimo vertinimas'!$F$9</f>
        <v>172137.13013262663</v>
      </c>
      <c r="J13" s="111">
        <f>Skaičiavimai!J10*'Atsipirkimo vertinimas'!$F$9</f>
        <v>202695.95846085891</v>
      </c>
      <c r="K13" s="111">
        <f>Skaičiavimai!K10*'Atsipirkimo vertinimas'!$F$9</f>
        <v>232079.44723800538</v>
      </c>
      <c r="L13" s="111">
        <f>Skaičiavimai!L10*'Atsipirkimo vertinimas'!$F$9</f>
        <v>260332.80183141539</v>
      </c>
      <c r="M13" s="111">
        <f>Skaičiavimai!M10*'Atsipirkimo vertinimas'!$F$9</f>
        <v>287499.48894046352</v>
      </c>
      <c r="N13" s="111">
        <f>Skaičiavimai!N10*'Atsipirkimo vertinimas'!$F$9</f>
        <v>313621.30346839438</v>
      </c>
      <c r="O13" s="111">
        <f>Skaičiavimai!O10*'Atsipirkimo vertinimas'!$F$9</f>
        <v>338738.4328221741</v>
      </c>
      <c r="P13" s="111">
        <f>Skaičiavimai!P10*'Atsipirkimo vertinimas'!$F$9</f>
        <v>362889.51873926999</v>
      </c>
      <c r="Q13" s="111">
        <f>Skaičiavimai!Q10*'Atsipirkimo vertinimas'!$F$9</f>
        <v>386111.71673647757</v>
      </c>
      <c r="R13" s="111">
        <f>Skaičiavimai!R10*'Atsipirkimo vertinimas'!$F$9</f>
        <v>408440.75327225402</v>
      </c>
      <c r="S13" s="111">
        <f>Skaičiavimai!S10*'Atsipirkimo vertinimas'!$F$9</f>
        <v>429910.98071050068</v>
      </c>
      <c r="T13" s="111">
        <f>Skaičiavimai!T10*'Atsipirkimo vertinimas'!$F$9</f>
        <v>450555.43017035321</v>
      </c>
      <c r="U13" s="111">
        <f>Skaičiavimai!U10*'Atsipirkimo vertinimas'!$F$9</f>
        <v>470405.86234328832</v>
      </c>
      <c r="V13" s="111">
        <f>Skaičiavimai!V10*'Atsipirkimo vertinimas'!$F$9</f>
        <v>489492.81635572592</v>
      </c>
      <c r="W13" s="111">
        <f>Skaičiavimai!W10*'Atsipirkimo vertinimas'!$F$9</f>
        <v>507845.65675230057</v>
      </c>
      <c r="X13" s="111">
        <f>Skaičiavimai!X10*'Atsipirkimo vertinimas'!$F$9</f>
        <v>525492.61867208383</v>
      </c>
      <c r="Y13" s="111">
        <f>Skaičiavimai!Y10*'Atsipirkimo vertinimas'!$F$9</f>
        <v>542460.85128726007</v>
      </c>
      <c r="Z13" s="111">
        <f>Skaičiavimai!Z10*'Atsipirkimo vertinimas'!$F$9</f>
        <v>558776.45957108331</v>
      </c>
      <c r="AA13" s="111">
        <f>Skaičiavimai!AA10*'Atsipirkimo vertinimas'!$F$9</f>
        <v>558776.45957108331</v>
      </c>
      <c r="AB13" s="111">
        <f>Skaičiavimai!AB10*'Atsipirkimo vertinimas'!$F$9</f>
        <v>558776.45957108331</v>
      </c>
      <c r="AC13" s="111">
        <f>Skaičiavimai!AC10*'Atsipirkimo vertinimas'!$F$9</f>
        <v>558776.45957108331</v>
      </c>
      <c r="AD13" s="8"/>
    </row>
    <row r="14" spans="1:31" x14ac:dyDescent="0.25">
      <c r="B14" s="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8"/>
    </row>
    <row r="15" spans="1:31" hidden="1" x14ac:dyDescent="0.25">
      <c r="B15" s="5"/>
      <c r="C15" s="12" t="s">
        <v>199</v>
      </c>
      <c r="D15" s="12"/>
      <c r="E15" s="10">
        <f>Skaičiavimai!E12</f>
        <v>0.6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8"/>
    </row>
    <row r="16" spans="1:31" x14ac:dyDescent="0.25">
      <c r="B16" s="5"/>
      <c r="C16" s="12" t="s">
        <v>5</v>
      </c>
      <c r="D16" s="12"/>
      <c r="E16" s="112">
        <f>Skaičiavimai!E13*'Atsipirkimo vertinimas'!$F$9</f>
        <v>600000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4"/>
      <c r="Y16" s="14"/>
      <c r="Z16" s="14"/>
      <c r="AA16" s="14"/>
      <c r="AB16" s="14"/>
      <c r="AC16" s="14"/>
      <c r="AD16" s="8"/>
    </row>
    <row r="17" spans="2:30" x14ac:dyDescent="0.25">
      <c r="B17" s="5"/>
      <c r="C17" s="12" t="s">
        <v>6</v>
      </c>
      <c r="D17" s="12"/>
      <c r="E17" s="112">
        <f>Skaičiavimai!E14*'Atsipirkimo vertinimas'!$F$9</f>
        <v>180000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14"/>
      <c r="Y17" s="14"/>
      <c r="Z17" s="14"/>
      <c r="AA17" s="14"/>
      <c r="AB17" s="14"/>
      <c r="AC17" s="14"/>
      <c r="AD17" s="8"/>
    </row>
    <row r="18" spans="2:30" x14ac:dyDescent="0.25">
      <c r="B18" s="5"/>
      <c r="C18" s="12" t="s">
        <v>7</v>
      </c>
      <c r="D18" s="12"/>
      <c r="E18" s="112">
        <f>Skaičiavimai!E15*'Atsipirkimo vertinimas'!$F$9</f>
        <v>420000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4"/>
      <c r="Y18" s="14"/>
      <c r="Z18" s="14"/>
      <c r="AA18" s="14"/>
      <c r="AB18" s="14"/>
      <c r="AC18" s="14"/>
      <c r="AD18" s="8"/>
    </row>
    <row r="19" spans="2:30" x14ac:dyDescent="0.25">
      <c r="B19" s="5"/>
      <c r="C19" s="6" t="s">
        <v>8</v>
      </c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8"/>
    </row>
    <row r="20" spans="2:30" x14ac:dyDescent="0.25">
      <c r="B20" s="5"/>
      <c r="C20" s="6" t="s">
        <v>2</v>
      </c>
      <c r="D20" s="6"/>
      <c r="E20" s="9">
        <v>1</v>
      </c>
      <c r="F20" s="9">
        <v>2</v>
      </c>
      <c r="G20" s="9">
        <v>3</v>
      </c>
      <c r="H20" s="9">
        <v>4</v>
      </c>
      <c r="I20" s="9">
        <v>5</v>
      </c>
      <c r="J20" s="9">
        <v>6</v>
      </c>
      <c r="K20" s="9">
        <v>7</v>
      </c>
      <c r="L20" s="9">
        <v>8</v>
      </c>
      <c r="M20" s="9">
        <v>9</v>
      </c>
      <c r="N20" s="9">
        <v>10</v>
      </c>
      <c r="O20" s="9">
        <v>11</v>
      </c>
      <c r="P20" s="9">
        <v>12</v>
      </c>
      <c r="Q20" s="9">
        <v>13</v>
      </c>
      <c r="R20" s="9">
        <v>14</v>
      </c>
      <c r="S20" s="9">
        <v>15</v>
      </c>
      <c r="T20" s="9">
        <v>16</v>
      </c>
      <c r="U20" s="9">
        <v>17</v>
      </c>
      <c r="V20" s="9">
        <v>18</v>
      </c>
      <c r="W20" s="9">
        <v>19</v>
      </c>
      <c r="X20" s="9">
        <v>20</v>
      </c>
      <c r="Y20" s="9">
        <v>21</v>
      </c>
      <c r="Z20" s="9">
        <v>22</v>
      </c>
      <c r="AA20" s="9">
        <v>23</v>
      </c>
      <c r="AB20" s="9">
        <v>24</v>
      </c>
      <c r="AC20" s="9">
        <v>25</v>
      </c>
      <c r="AD20" s="8"/>
    </row>
    <row r="21" spans="2:30" x14ac:dyDescent="0.25">
      <c r="B21" s="15"/>
      <c r="C21" s="6" t="s">
        <v>218</v>
      </c>
      <c r="D21" s="6"/>
      <c r="E21" s="111">
        <f>Skaičiavimai!E20*'Atsipirkimo vertinimas'!$F$9</f>
        <v>0</v>
      </c>
      <c r="F21" s="111">
        <f>Skaičiavimai!F20*'Atsipirkimo vertinimas'!$F$9</f>
        <v>0</v>
      </c>
      <c r="G21" s="111">
        <f>Skaičiavimai!G20*'Atsipirkimo vertinimas'!$F$9</f>
        <v>31626.053850493481</v>
      </c>
      <c r="H21" s="111">
        <f>Skaičiavimai!H20*'Atsipirkimo vertinimas'!$F$9</f>
        <v>31626.053850493481</v>
      </c>
      <c r="I21" s="111">
        <f>Skaičiavimai!I20*'Atsipirkimo vertinimas'!$F$9</f>
        <v>31626.053850493481</v>
      </c>
      <c r="J21" s="111">
        <f>Skaičiavimai!J20*'Atsipirkimo vertinimas'!$F$9</f>
        <v>35784.657430251449</v>
      </c>
      <c r="K21" s="111">
        <f>Skaičiavimai!K20*'Atsipirkimo vertinimas'!$F$9</f>
        <v>35784.657430251449</v>
      </c>
      <c r="L21" s="111">
        <f>Skaičiavimai!L20*'Atsipirkimo vertinimas'!$F$9</f>
        <v>35784.657430251449</v>
      </c>
      <c r="M21" s="111">
        <f>Skaičiavimai!M20*'Atsipirkimo vertinimas'!$F$9</f>
        <v>35784.657430251449</v>
      </c>
      <c r="N21" s="111">
        <f>Skaičiavimai!N20*'Atsipirkimo vertinimas'!$F$9</f>
        <v>35784.657430251449</v>
      </c>
      <c r="O21" s="111">
        <f>Skaičiavimai!O20*'Atsipirkimo vertinimas'!$F$9</f>
        <v>35784.657430251449</v>
      </c>
      <c r="P21" s="111">
        <f>Skaičiavimai!P20*'Atsipirkimo vertinimas'!$F$9</f>
        <v>35784.657430251449</v>
      </c>
      <c r="Q21" s="111">
        <f>Skaičiavimai!Q20*'Atsipirkimo vertinimas'!$F$9</f>
        <v>35784.657430251449</v>
      </c>
      <c r="R21" s="111">
        <f>Skaičiavimai!R20*'Atsipirkimo vertinimas'!$F$9</f>
        <v>35784.657430251449</v>
      </c>
      <c r="S21" s="111">
        <f>Skaičiavimai!S20*'Atsipirkimo vertinimas'!$F$9</f>
        <v>35784.657430251449</v>
      </c>
      <c r="T21" s="111">
        <f>Skaičiavimai!T20*'Atsipirkimo vertinimas'!$F$9</f>
        <v>35784.657430251449</v>
      </c>
      <c r="U21" s="111">
        <f>Skaičiavimai!U20*'Atsipirkimo vertinimas'!$F$9</f>
        <v>35784.657430251449</v>
      </c>
      <c r="V21" s="111">
        <f>Skaičiavimai!V20*'Atsipirkimo vertinimas'!$F$9</f>
        <v>35784.657430251449</v>
      </c>
      <c r="W21" s="111">
        <f>Skaičiavimai!W20*'Atsipirkimo vertinimas'!$F$9</f>
        <v>35784.657430251449</v>
      </c>
      <c r="X21" s="111">
        <f>Skaičiavimai!X20*'Atsipirkimo vertinimas'!$F$9</f>
        <v>35784.657430251144</v>
      </c>
      <c r="Y21" s="111">
        <f>Skaičiavimai!Y20*'Atsipirkimo vertinimas'!$F$9</f>
        <v>0</v>
      </c>
      <c r="Z21" s="111">
        <f>Skaičiavimai!Z20*'Atsipirkimo vertinimas'!$F$9</f>
        <v>0</v>
      </c>
      <c r="AA21" s="111">
        <f>Skaičiavimai!AA20*'Atsipirkimo vertinimas'!$F$9</f>
        <v>0</v>
      </c>
      <c r="AB21" s="111">
        <f>Skaičiavimai!AB20*'Atsipirkimo vertinimas'!$F$9</f>
        <v>0</v>
      </c>
      <c r="AC21" s="111">
        <f>Skaičiavimai!AC20*'Atsipirkimo vertinimas'!$F$9</f>
        <v>0</v>
      </c>
      <c r="AD21" s="8"/>
    </row>
    <row r="22" spans="2:30" x14ac:dyDescent="0.25">
      <c r="B22" s="16"/>
      <c r="C22" s="6" t="s">
        <v>219</v>
      </c>
      <c r="D22" s="6"/>
      <c r="E22" s="111">
        <f>Skaičiavimai!E21*'Atsipirkimo vertinimas'!$F$9</f>
        <v>0</v>
      </c>
      <c r="F22" s="111">
        <f>Skaičiavimai!F21*'Atsipirkimo vertinimas'!$F$9</f>
        <v>-30000</v>
      </c>
      <c r="G22" s="111">
        <f>Skaičiavimai!G21*'Atsipirkimo vertinimas'!$F$9</f>
        <v>0</v>
      </c>
      <c r="H22" s="111">
        <f>Skaičiavimai!H21*'Atsipirkimo vertinimas'!$F$9</f>
        <v>0</v>
      </c>
      <c r="I22" s="111">
        <f>Skaičiavimai!I21*'Atsipirkimo vertinimas'!$F$9</f>
        <v>0</v>
      </c>
      <c r="J22" s="111">
        <f>Skaičiavimai!J21*'Atsipirkimo vertinimas'!$F$9</f>
        <v>0</v>
      </c>
      <c r="K22" s="111">
        <f>Skaičiavimai!K21*'Atsipirkimo vertinimas'!$F$9</f>
        <v>0</v>
      </c>
      <c r="L22" s="111">
        <f>Skaičiavimai!L21*'Atsipirkimo vertinimas'!$F$9</f>
        <v>0</v>
      </c>
      <c r="M22" s="111">
        <f>Skaičiavimai!M21*'Atsipirkimo vertinimas'!$F$9</f>
        <v>0</v>
      </c>
      <c r="N22" s="111">
        <f>Skaičiavimai!N21*'Atsipirkimo vertinimas'!$F$9</f>
        <v>0</v>
      </c>
      <c r="O22" s="111">
        <f>Skaičiavimai!O21*'Atsipirkimo vertinimas'!$F$9</f>
        <v>0</v>
      </c>
      <c r="P22" s="111">
        <f>Skaičiavimai!P21*'Atsipirkimo vertinimas'!$F$9</f>
        <v>0</v>
      </c>
      <c r="Q22" s="111">
        <f>Skaičiavimai!Q21*'Atsipirkimo vertinimas'!$F$9</f>
        <v>0</v>
      </c>
      <c r="R22" s="111">
        <f>Skaičiavimai!R21*'Atsipirkimo vertinimas'!$F$9</f>
        <v>0</v>
      </c>
      <c r="S22" s="111">
        <f>Skaičiavimai!S21*'Atsipirkimo vertinimas'!$F$9</f>
        <v>0</v>
      </c>
      <c r="T22" s="111">
        <f>Skaičiavimai!T21*'Atsipirkimo vertinimas'!$F$9</f>
        <v>0</v>
      </c>
      <c r="U22" s="111">
        <f>Skaičiavimai!U21*'Atsipirkimo vertinimas'!$F$9</f>
        <v>0</v>
      </c>
      <c r="V22" s="111">
        <f>Skaičiavimai!V21*'Atsipirkimo vertinimas'!$F$9</f>
        <v>0</v>
      </c>
      <c r="W22" s="111">
        <f>Skaičiavimai!W21*'Atsipirkimo vertinimas'!$F$9</f>
        <v>0</v>
      </c>
      <c r="X22" s="111">
        <f>Skaičiavimai!X21*'Atsipirkimo vertinimas'!$F$9</f>
        <v>0</v>
      </c>
      <c r="Y22" s="111">
        <f>Skaičiavimai!Y21*'Atsipirkimo vertinimas'!$F$9</f>
        <v>0</v>
      </c>
      <c r="Z22" s="111">
        <f>Skaičiavimai!Z21*'Atsipirkimo vertinimas'!$F$9</f>
        <v>0</v>
      </c>
      <c r="AA22" s="111">
        <f>Skaičiavimai!AA21*'Atsipirkimo vertinimas'!$F$9</f>
        <v>0</v>
      </c>
      <c r="AB22" s="111">
        <f>Skaičiavimai!AB21*'Atsipirkimo vertinimas'!$F$9</f>
        <v>0</v>
      </c>
      <c r="AC22" s="111">
        <f>Skaičiavimai!AC21*'Atsipirkimo vertinimas'!$F$9</f>
        <v>0</v>
      </c>
      <c r="AD22" s="8"/>
    </row>
    <row r="23" spans="2:30" x14ac:dyDescent="0.25">
      <c r="B23" s="15"/>
      <c r="C23" s="6" t="s">
        <v>221</v>
      </c>
      <c r="D23" s="6"/>
      <c r="E23" s="111">
        <f>Skaičiavimai!E22*'Atsipirkimo vertinimas'!$F$9</f>
        <v>19200</v>
      </c>
      <c r="F23" s="111">
        <f>Skaičiavimai!F22*'Atsipirkimo vertinimas'!$F$9</f>
        <v>19200</v>
      </c>
      <c r="G23" s="111">
        <f>Skaičiavimai!G22*'Atsipirkimo vertinimas'!$F$9</f>
        <v>7680</v>
      </c>
      <c r="H23" s="111">
        <f>Skaičiavimai!H22*'Atsipirkimo vertinimas'!$F$9</f>
        <v>7680</v>
      </c>
      <c r="I23" s="111">
        <f>Skaičiavimai!I22*'Atsipirkimo vertinimas'!$F$9</f>
        <v>7680</v>
      </c>
      <c r="J23" s="111">
        <f>Skaičiavimai!J22*'Atsipirkimo vertinimas'!$F$9</f>
        <v>7680</v>
      </c>
      <c r="K23" s="111">
        <f>Skaičiavimai!K22*'Atsipirkimo vertinimas'!$F$9</f>
        <v>7680</v>
      </c>
      <c r="L23" s="111">
        <f>Skaičiavimai!L22*'Atsipirkimo vertinimas'!$F$9</f>
        <v>7680</v>
      </c>
      <c r="M23" s="111">
        <f>Skaičiavimai!M22*'Atsipirkimo vertinimas'!$F$9</f>
        <v>7680</v>
      </c>
      <c r="N23" s="111">
        <f>Skaičiavimai!N22*'Atsipirkimo vertinimas'!$F$9</f>
        <v>7680</v>
      </c>
      <c r="O23" s="111">
        <f>Skaičiavimai!O22*'Atsipirkimo vertinimas'!$F$9</f>
        <v>7680</v>
      </c>
      <c r="P23" s="111">
        <f>Skaičiavimai!P22*'Atsipirkimo vertinimas'!$F$9</f>
        <v>7680</v>
      </c>
      <c r="Q23" s="111">
        <f>Skaičiavimai!Q22*'Atsipirkimo vertinimas'!$F$9</f>
        <v>7680</v>
      </c>
      <c r="R23" s="111">
        <f>Skaičiavimai!R22*'Atsipirkimo vertinimas'!$F$9</f>
        <v>7680</v>
      </c>
      <c r="S23" s="111">
        <f>Skaičiavimai!S22*'Atsipirkimo vertinimas'!$F$9</f>
        <v>7680</v>
      </c>
      <c r="T23" s="111">
        <f>Skaičiavimai!T22*'Atsipirkimo vertinimas'!$F$9</f>
        <v>7680</v>
      </c>
      <c r="U23" s="111">
        <f>Skaičiavimai!U22*'Atsipirkimo vertinimas'!$F$9</f>
        <v>7680</v>
      </c>
      <c r="V23" s="111">
        <f>Skaičiavimai!V22*'Atsipirkimo vertinimas'!$F$9</f>
        <v>7680</v>
      </c>
      <c r="W23" s="111">
        <f>Skaičiavimai!W22*'Atsipirkimo vertinimas'!$F$9</f>
        <v>7680</v>
      </c>
      <c r="X23" s="111">
        <f>Skaičiavimai!X22*'Atsipirkimo vertinimas'!$F$9</f>
        <v>7680</v>
      </c>
      <c r="Y23" s="111">
        <f>Skaičiavimai!Y22*'Atsipirkimo vertinimas'!$F$9</f>
        <v>7680</v>
      </c>
      <c r="Z23" s="111">
        <f>Skaičiavimai!Z22*'Atsipirkimo vertinimas'!$F$9</f>
        <v>7680</v>
      </c>
      <c r="AA23" s="111">
        <f>Skaičiavimai!AA22*'Atsipirkimo vertinimas'!$F$9</f>
        <v>0</v>
      </c>
      <c r="AB23" s="111">
        <f>Skaičiavimai!AB22*'Atsipirkimo vertinimas'!$F$9</f>
        <v>0</v>
      </c>
      <c r="AC23" s="111">
        <f>Skaičiavimai!AC22*'Atsipirkimo vertinimas'!$F$9</f>
        <v>0</v>
      </c>
      <c r="AD23" s="8"/>
    </row>
    <row r="24" spans="2:30" x14ac:dyDescent="0.25">
      <c r="B24" s="15"/>
      <c r="C24" s="6" t="s">
        <v>220</v>
      </c>
      <c r="D24" s="6"/>
      <c r="E24" s="111">
        <f>Skaičiavimai!E23*'Atsipirkimo vertinimas'!$F$9</f>
        <v>0</v>
      </c>
      <c r="F24" s="111">
        <f>Skaičiavimai!F23*'Atsipirkimo vertinimas'!$F$9</f>
        <v>0</v>
      </c>
      <c r="G24" s="111">
        <f>Skaičiavimai!G23*'Atsipirkimo vertinimas'!$F$9</f>
        <v>965.23971087180939</v>
      </c>
      <c r="H24" s="111">
        <f>Skaičiavimai!H23*'Atsipirkimo vertinimas'!$F$9</f>
        <v>965.23971087180939</v>
      </c>
      <c r="I24" s="111">
        <f>Skaičiavimai!I23*'Atsipirkimo vertinimas'!$F$9</f>
        <v>965.23971087180939</v>
      </c>
      <c r="J24" s="111">
        <f>Skaičiavimai!J23*'Atsipirkimo vertinimas'!$F$9</f>
        <v>965.23971087180939</v>
      </c>
      <c r="K24" s="111">
        <f>Skaičiavimai!K23*'Atsipirkimo vertinimas'!$F$9</f>
        <v>965.23971087180939</v>
      </c>
      <c r="L24" s="111">
        <f>Skaičiavimai!L23*'Atsipirkimo vertinimas'!$F$9</f>
        <v>965.23971087180939</v>
      </c>
      <c r="M24" s="111">
        <f>Skaičiavimai!M23*'Atsipirkimo vertinimas'!$F$9</f>
        <v>965.23971087180939</v>
      </c>
      <c r="N24" s="111">
        <f>Skaičiavimai!N23*'Atsipirkimo vertinimas'!$F$9</f>
        <v>965.23971087180939</v>
      </c>
      <c r="O24" s="111">
        <f>Skaičiavimai!O23*'Atsipirkimo vertinimas'!$F$9</f>
        <v>965.23971087180939</v>
      </c>
      <c r="P24" s="111">
        <f>Skaičiavimai!P23*'Atsipirkimo vertinimas'!$F$9</f>
        <v>965.23971087180939</v>
      </c>
      <c r="Q24" s="111">
        <f>Skaičiavimai!Q23*'Atsipirkimo vertinimas'!$F$9</f>
        <v>965.23971087180939</v>
      </c>
      <c r="R24" s="111">
        <f>Skaičiavimai!R23*'Atsipirkimo vertinimas'!$F$9</f>
        <v>965.23971087180939</v>
      </c>
      <c r="S24" s="111">
        <f>Skaičiavimai!S23*'Atsipirkimo vertinimas'!$F$9</f>
        <v>965.23971087180939</v>
      </c>
      <c r="T24" s="111">
        <f>Skaičiavimai!T23*'Atsipirkimo vertinimas'!$F$9</f>
        <v>965.23971087180939</v>
      </c>
      <c r="U24" s="111">
        <f>Skaičiavimai!U23*'Atsipirkimo vertinimas'!$F$9</f>
        <v>965.23971087180939</v>
      </c>
      <c r="V24" s="111">
        <f>Skaičiavimai!V23*'Atsipirkimo vertinimas'!$F$9</f>
        <v>965.23971087180939</v>
      </c>
      <c r="W24" s="111">
        <f>Skaičiavimai!W23*'Atsipirkimo vertinimas'!$F$9</f>
        <v>965.23971087180939</v>
      </c>
      <c r="X24" s="111">
        <f>Skaičiavimai!X23*'Atsipirkimo vertinimas'!$F$9</f>
        <v>965.23971087180939</v>
      </c>
      <c r="Y24" s="111">
        <f>Skaičiavimai!Y23*'Atsipirkimo vertinimas'!$F$9</f>
        <v>965.23971087180939</v>
      </c>
      <c r="Z24" s="111">
        <f>Skaičiavimai!Z23*'Atsipirkimo vertinimas'!$F$9</f>
        <v>965.23971087180939</v>
      </c>
      <c r="AA24" s="111">
        <f>Skaičiavimai!AA23*'Atsipirkimo vertinimas'!$F$9</f>
        <v>0</v>
      </c>
      <c r="AB24" s="111">
        <f>Skaičiavimai!AB23*'Atsipirkimo vertinimas'!$F$9</f>
        <v>0</v>
      </c>
      <c r="AC24" s="111">
        <f>Skaičiavimai!AC23*'Atsipirkimo vertinimas'!$F$9</f>
        <v>0</v>
      </c>
      <c r="AD24" s="8"/>
    </row>
    <row r="25" spans="2:30" x14ac:dyDescent="0.25">
      <c r="B25" s="15"/>
      <c r="C25" s="6" t="s">
        <v>217</v>
      </c>
      <c r="D25" s="6"/>
      <c r="E25" s="111">
        <f>Skaičiavimai!E24*'Atsipirkimo vertinimas'!$F$9</f>
        <v>1200</v>
      </c>
      <c r="F25" s="111">
        <f>Skaičiavimai!F24*'Atsipirkimo vertinimas'!$F$9</f>
        <v>1200</v>
      </c>
      <c r="G25" s="111">
        <f>Skaičiavimai!G24*'Atsipirkimo vertinimas'!$F$9</f>
        <v>600</v>
      </c>
      <c r="H25" s="111">
        <f>Skaičiavimai!H24*'Atsipirkimo vertinimas'!$F$9</f>
        <v>600</v>
      </c>
      <c r="I25" s="111">
        <f>Skaičiavimai!I24*'Atsipirkimo vertinimas'!$F$9</f>
        <v>600</v>
      </c>
      <c r="J25" s="111">
        <f>Skaičiavimai!J24*'Atsipirkimo vertinimas'!$F$9</f>
        <v>600</v>
      </c>
      <c r="K25" s="111">
        <f>Skaičiavimai!K24*'Atsipirkimo vertinimas'!$F$9</f>
        <v>600</v>
      </c>
      <c r="L25" s="111">
        <f>Skaičiavimai!L24*'Atsipirkimo vertinimas'!$F$9</f>
        <v>2100</v>
      </c>
      <c r="M25" s="111">
        <f>Skaičiavimai!M24*'Atsipirkimo vertinimas'!$F$9</f>
        <v>2100</v>
      </c>
      <c r="N25" s="111">
        <f>Skaičiavimai!N24*'Atsipirkimo vertinimas'!$F$9</f>
        <v>2100</v>
      </c>
      <c r="O25" s="111">
        <f>Skaičiavimai!O24*'Atsipirkimo vertinimas'!$F$9</f>
        <v>2100</v>
      </c>
      <c r="P25" s="111">
        <f>Skaičiavimai!P24*'Atsipirkimo vertinimas'!$F$9</f>
        <v>2100</v>
      </c>
      <c r="Q25" s="111">
        <f>Skaičiavimai!Q24*'Atsipirkimo vertinimas'!$F$9</f>
        <v>2100</v>
      </c>
      <c r="R25" s="111">
        <f>Skaičiavimai!R24*'Atsipirkimo vertinimas'!$F$9</f>
        <v>2100</v>
      </c>
      <c r="S25" s="111">
        <f>Skaičiavimai!S24*'Atsipirkimo vertinimas'!$F$9</f>
        <v>2100</v>
      </c>
      <c r="T25" s="111">
        <f>Skaičiavimai!T24*'Atsipirkimo vertinimas'!$F$9</f>
        <v>2100</v>
      </c>
      <c r="U25" s="111">
        <f>Skaičiavimai!U24*'Atsipirkimo vertinimas'!$F$9</f>
        <v>2100</v>
      </c>
      <c r="V25" s="111">
        <f>Skaičiavimai!V24*'Atsipirkimo vertinimas'!$F$9</f>
        <v>2100</v>
      </c>
      <c r="W25" s="111">
        <f>Skaičiavimai!W24*'Atsipirkimo vertinimas'!$F$9</f>
        <v>2100</v>
      </c>
      <c r="X25" s="111">
        <f>Skaičiavimai!X24*'Atsipirkimo vertinimas'!$F$9</f>
        <v>2100</v>
      </c>
      <c r="Y25" s="111">
        <f>Skaičiavimai!Y24*'Atsipirkimo vertinimas'!$F$9</f>
        <v>2100</v>
      </c>
      <c r="Z25" s="111">
        <f>Skaičiavimai!Z24*'Atsipirkimo vertinimas'!$F$9</f>
        <v>2100</v>
      </c>
      <c r="AA25" s="111">
        <f>Skaičiavimai!AA24*'Atsipirkimo vertinimas'!$F$9</f>
        <v>0</v>
      </c>
      <c r="AB25" s="111">
        <f>Skaičiavimai!AB24*'Atsipirkimo vertinimas'!$F$9</f>
        <v>0</v>
      </c>
      <c r="AC25" s="111">
        <f>Skaičiavimai!AC24*'Atsipirkimo vertinimas'!$F$9</f>
        <v>0</v>
      </c>
      <c r="AD25" s="8"/>
    </row>
    <row r="26" spans="2:30" x14ac:dyDescent="0.25">
      <c r="B26" s="15"/>
      <c r="C26" s="12" t="s">
        <v>10</v>
      </c>
      <c r="D26" s="12"/>
      <c r="E26" s="111">
        <f>Skaičiavimai!E25*'Atsipirkimo vertinimas'!$F$9</f>
        <v>0</v>
      </c>
      <c r="F26" s="111">
        <f>Skaičiavimai!F25*'Atsipirkimo vertinimas'!$F$9</f>
        <v>0</v>
      </c>
      <c r="G26" s="111">
        <f>Skaičiavimai!G25*'Atsipirkimo vertinimas'!$F$9</f>
        <v>28115.446712218971</v>
      </c>
      <c r="H26" s="111">
        <f>Skaičiavimai!H25*'Atsipirkimo vertinimas'!$F$9</f>
        <v>27034.083377133622</v>
      </c>
      <c r="I26" s="111">
        <f>Skaičiavimai!I25*'Atsipirkimo vertinimas'!$F$9</f>
        <v>25994.310939551557</v>
      </c>
      <c r="J26" s="111">
        <f>Skaičiavimai!J25*'Atsipirkimo vertinimas'!$F$9</f>
        <v>28281.134565404907</v>
      </c>
      <c r="K26" s="111">
        <f>Skaičiavimai!K25*'Atsipirkimo vertinimas'!$F$9</f>
        <v>27193.398620581647</v>
      </c>
      <c r="L26" s="111">
        <f>Skaičiavimai!L25*'Atsipirkimo vertinimas'!$F$9</f>
        <v>26147.498673636193</v>
      </c>
      <c r="M26" s="111">
        <f>Skaičiavimai!M25*'Atsipirkimo vertinimas'!$F$9</f>
        <v>25141.825647727106</v>
      </c>
      <c r="N26" s="111">
        <f>Skaičiavimai!N25*'Atsipirkimo vertinimas'!$F$9</f>
        <v>24174.832353583755</v>
      </c>
      <c r="O26" s="111">
        <f>Skaičiavimai!O25*'Atsipirkimo vertinimas'!$F$9</f>
        <v>23245.031109215153</v>
      </c>
      <c r="P26" s="111">
        <f>Skaičiavimai!P25*'Atsipirkimo vertinimas'!$F$9</f>
        <v>22350.991451168411</v>
      </c>
      <c r="Q26" s="111">
        <f>Skaičiavimai!Q25*'Atsipirkimo vertinimas'!$F$9</f>
        <v>21491.337933815779</v>
      </c>
      <c r="R26" s="111">
        <f>Skaičiavimai!R25*'Atsipirkimo vertinimas'!$F$9</f>
        <v>20664.748013284407</v>
      </c>
      <c r="S26" s="111">
        <f>Skaičiavimai!S25*'Atsipirkimo vertinimas'!$F$9</f>
        <v>19869.950012773465</v>
      </c>
      <c r="T26" s="111">
        <f>Skaičiavimai!T25*'Atsipirkimo vertinimas'!$F$9</f>
        <v>19105.721166128325</v>
      </c>
      <c r="U26" s="111">
        <f>Skaičiavimai!U25*'Atsipirkimo vertinimas'!$F$9</f>
        <v>18370.885736661854</v>
      </c>
      <c r="V26" s="111">
        <f>Skaičiavimai!V25*'Atsipirkimo vertinimas'!$F$9</f>
        <v>17664.313208328702</v>
      </c>
      <c r="W26" s="111">
        <f>Skaičiavimai!W25*'Atsipirkimo vertinimas'!$F$9</f>
        <v>16984.916546469907</v>
      </c>
      <c r="X26" s="111">
        <f>Skaičiavimai!X25*'Atsipirkimo vertinimas'!$F$9</f>
        <v>16331.650525451696</v>
      </c>
      <c r="Y26" s="111">
        <f>Skaičiavimai!Y25*'Atsipirkimo vertinimas'!$F$9</f>
        <v>0</v>
      </c>
      <c r="Z26" s="111">
        <f>Skaičiavimai!Z25*'Atsipirkimo vertinimas'!$F$9</f>
        <v>0</v>
      </c>
      <c r="AA26" s="111">
        <f>Skaičiavimai!AA25*'Atsipirkimo vertinimas'!$F$9</f>
        <v>0</v>
      </c>
      <c r="AB26" s="111">
        <f>Skaičiavimai!AB25*'Atsipirkimo vertinimas'!$F$9</f>
        <v>0</v>
      </c>
      <c r="AC26" s="111">
        <f>Skaičiavimai!AC25*'Atsipirkimo vertinimas'!$F$9</f>
        <v>0</v>
      </c>
      <c r="AD26" s="8"/>
    </row>
    <row r="27" spans="2:30" x14ac:dyDescent="0.25">
      <c r="B27" s="5"/>
      <c r="C27" s="12" t="s">
        <v>11</v>
      </c>
      <c r="D27" s="12"/>
      <c r="E27" s="111">
        <f>Skaičiavimai!E26*'Atsipirkimo vertinimas'!$F$9</f>
        <v>19615.384615384613</v>
      </c>
      <c r="F27" s="111">
        <f>Skaičiavimai!F26*'Atsipirkimo vertinimas'!$F$9</f>
        <v>-8875.7396449704138</v>
      </c>
      <c r="G27" s="111">
        <f>Skaičiavimai!G26*'Atsipirkimo vertinimas'!$F$9</f>
        <v>8218.9844380047798</v>
      </c>
      <c r="H27" s="111">
        <f>Skaičiavimai!H26*'Atsipirkimo vertinimas'!$F$9</f>
        <v>7902.8696519276718</v>
      </c>
      <c r="I27" s="111">
        <f>Skaičiavimai!I26*'Atsipirkimo vertinimas'!$F$9</f>
        <v>7598.9131268535302</v>
      </c>
      <c r="J27" s="111">
        <f>Skaičiavimai!J26*'Atsipirkimo vertinimas'!$F$9</f>
        <v>7306.6472373591632</v>
      </c>
      <c r="K27" s="111">
        <f>Skaičiavimai!K26*'Atsipirkimo vertinimas'!$F$9</f>
        <v>7025.622343614581</v>
      </c>
      <c r="L27" s="111">
        <f>Skaičiavimai!L26*'Atsipirkimo vertinimas'!$F$9</f>
        <v>7851.441407132379</v>
      </c>
      <c r="M27" s="111">
        <f>Skaičiavimai!M26*'Atsipirkimo vertinimas'!$F$9</f>
        <v>7549.4628914734403</v>
      </c>
      <c r="N27" s="111">
        <f>Skaičiavimai!N26*'Atsipirkimo vertinimas'!$F$9</f>
        <v>7259.0989341090772</v>
      </c>
      <c r="O27" s="111">
        <f>Skaičiavimai!O26*'Atsipirkimo vertinimas'!$F$9</f>
        <v>6979.9028212587291</v>
      </c>
      <c r="P27" s="111">
        <f>Skaičiavimai!P26*'Atsipirkimo vertinimas'!$F$9</f>
        <v>6711.4450204410841</v>
      </c>
      <c r="Q27" s="111">
        <f>Skaičiavimai!Q26*'Atsipirkimo vertinimas'!$F$9</f>
        <v>6453.3125196548881</v>
      </c>
      <c r="R27" s="111">
        <f>Skaičiavimai!R26*'Atsipirkimo vertinimas'!$F$9</f>
        <v>6205.1081919758544</v>
      </c>
      <c r="S27" s="111">
        <f>Skaičiavimai!S26*'Atsipirkimo vertinimas'!$F$9</f>
        <v>5966.4501845921677</v>
      </c>
      <c r="T27" s="111">
        <f>Skaičiavimai!T26*'Atsipirkimo vertinimas'!$F$9</f>
        <v>5736.9713313386219</v>
      </c>
      <c r="U27" s="111">
        <f>Skaičiavimai!U26*'Atsipirkimo vertinimas'!$F$9</f>
        <v>5516.3185878255981</v>
      </c>
      <c r="V27" s="111">
        <f>Skaičiavimai!V26*'Atsipirkimo vertinimas'!$F$9</f>
        <v>5304.1524882938438</v>
      </c>
      <c r="W27" s="111">
        <f>Skaičiavimai!W26*'Atsipirkimo vertinimas'!$F$9</f>
        <v>5100.1466233594647</v>
      </c>
      <c r="X27" s="111">
        <f>Skaičiavimai!X26*'Atsipirkimo vertinimas'!$F$9</f>
        <v>4903.9871378456401</v>
      </c>
      <c r="Y27" s="111">
        <f>Skaičiavimai!Y26*'Atsipirkimo vertinimas'!$F$9</f>
        <v>4715.3722479284988</v>
      </c>
      <c r="Z27" s="111">
        <f>Skaičiavimai!Z26*'Atsipirkimo vertinimas'!$F$9</f>
        <v>4534.011776854325</v>
      </c>
      <c r="AA27" s="111">
        <f>Skaičiavimai!AA26*'Atsipirkimo vertinimas'!$F$9</f>
        <v>0</v>
      </c>
      <c r="AB27" s="111">
        <f>Skaičiavimai!AB26*'Atsipirkimo vertinimas'!$F$9</f>
        <v>0</v>
      </c>
      <c r="AC27" s="111">
        <f>Skaičiavimai!AC26*'Atsipirkimo vertinimas'!$F$9</f>
        <v>0</v>
      </c>
      <c r="AD27" s="8"/>
    </row>
    <row r="28" spans="2:30" x14ac:dyDescent="0.25">
      <c r="B28" s="5"/>
      <c r="C28" s="12" t="s">
        <v>4</v>
      </c>
      <c r="D28" s="12"/>
      <c r="E28" s="111">
        <f>Skaičiavimai!E27*'Atsipirkimo vertinimas'!$F$9</f>
        <v>19615.384615384613</v>
      </c>
      <c r="F28" s="111">
        <f>Skaičiavimai!F27*'Atsipirkimo vertinimas'!$F$9</f>
        <v>418901.72156354965</v>
      </c>
      <c r="G28" s="111">
        <f>Skaičiavimai!G27*'Atsipirkimo vertinimas'!$F$9</f>
        <v>427120.70600155444</v>
      </c>
      <c r="H28" s="111">
        <f>Skaičiavimai!H27*'Atsipirkimo vertinimas'!$F$9</f>
        <v>435023.57565348211</v>
      </c>
      <c r="I28" s="111">
        <f>Skaičiavimai!I27*'Atsipirkimo vertinimas'!$F$9</f>
        <v>442622.48878033564</v>
      </c>
      <c r="J28" s="111">
        <f>Skaičiavimai!J27*'Atsipirkimo vertinimas'!$F$9</f>
        <v>449929.13601769484</v>
      </c>
      <c r="K28" s="111">
        <f>Skaičiavimai!K27*'Atsipirkimo vertinimas'!$F$9</f>
        <v>456954.75836130942</v>
      </c>
      <c r="L28" s="111">
        <f>Skaičiavimai!L27*'Atsipirkimo vertinimas'!$F$9</f>
        <v>464806.19976844179</v>
      </c>
      <c r="M28" s="111">
        <f>Skaičiavimai!M27*'Atsipirkimo vertinimas'!$F$9</f>
        <v>472355.66265991528</v>
      </c>
      <c r="N28" s="111">
        <f>Skaičiavimai!N27*'Atsipirkimo vertinimas'!$F$9</f>
        <v>479614.76159402437</v>
      </c>
      <c r="O28" s="111">
        <f>Skaičiavimai!O27*'Atsipirkimo vertinimas'!$F$9</f>
        <v>486594.66441528307</v>
      </c>
      <c r="P28" s="111">
        <f>Skaičiavimai!P27*'Atsipirkimo vertinimas'!$F$9</f>
        <v>493306.10943572415</v>
      </c>
      <c r="Q28" s="111">
        <f>Skaičiavimai!Q27*'Atsipirkimo vertinimas'!$F$9</f>
        <v>499759.42195537908</v>
      </c>
      <c r="R28" s="111">
        <f>Skaičiavimai!R27*'Atsipirkimo vertinimas'!$F$9</f>
        <v>505964.53014735493</v>
      </c>
      <c r="S28" s="111">
        <f>Skaičiavimai!S27*'Atsipirkimo vertinimas'!$F$9</f>
        <v>511930.98033194715</v>
      </c>
      <c r="T28" s="111">
        <f>Skaičiavimai!T27*'Atsipirkimo vertinimas'!$F$9</f>
        <v>517667.95166328573</v>
      </c>
      <c r="U28" s="111">
        <f>Skaičiavimai!U27*'Atsipirkimo vertinimas'!$F$9</f>
        <v>523184.27025111136</v>
      </c>
      <c r="V28" s="111">
        <f>Skaičiavimai!V27*'Atsipirkimo vertinimas'!$F$9</f>
        <v>528488.42273940518</v>
      </c>
      <c r="W28" s="111">
        <f>Skaičiavimai!W27*'Atsipirkimo vertinimas'!$F$9</f>
        <v>533588.56936276471</v>
      </c>
      <c r="X28" s="111">
        <f>Skaičiavimai!X27*'Atsipirkimo vertinimas'!$F$9</f>
        <v>538492.55650061031</v>
      </c>
      <c r="Y28" s="111">
        <f>Skaičiavimai!Y27*'Atsipirkimo vertinimas'!$F$9</f>
        <v>543207.92874853883</v>
      </c>
      <c r="Z28" s="111">
        <f>Skaičiavimai!Z27*'Atsipirkimo vertinimas'!$F$9</f>
        <v>547741.94052539312</v>
      </c>
      <c r="AA28" s="111">
        <f>Skaičiavimai!AA27*'Atsipirkimo vertinimas'!$F$9</f>
        <v>547741.94052539312</v>
      </c>
      <c r="AB28" s="111">
        <f>Skaičiavimai!AB27*'Atsipirkimo vertinimas'!$F$9</f>
        <v>547741.94052539312</v>
      </c>
      <c r="AC28" s="111">
        <f>Skaičiavimai!AC27*'Atsipirkimo vertinimas'!$F$9</f>
        <v>547741.94052539312</v>
      </c>
      <c r="AD28" s="8"/>
    </row>
    <row r="29" spans="2:30" x14ac:dyDescent="0.25">
      <c r="B29" s="5"/>
      <c r="C29" s="12" t="s">
        <v>12</v>
      </c>
      <c r="D29" s="12"/>
      <c r="E29" s="119">
        <f>Skaičiavimai!$E$28</f>
        <v>21.063410545492442</v>
      </c>
      <c r="F29" s="120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8"/>
    </row>
    <row r="30" spans="2:30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9"/>
    </row>
    <row r="31" spans="2:30" x14ac:dyDescent="0.25"/>
    <row r="32" spans="2:30" x14ac:dyDescent="0.25"/>
    <row r="33" x14ac:dyDescent="0.25"/>
    <row r="34" x14ac:dyDescent="0.25"/>
    <row r="35" x14ac:dyDescent="0.25"/>
  </sheetData>
  <sheetProtection algorithmName="SHA-512" hashValue="/HLaAS3CJsWevh51EFzg/qNQ0thm9KrGRdBhbtnQ5PjKeX9XPGRRqQy+hPn/DDHbNKfDjm/U8MxXRzNl9ErP2g==" saltValue="oCw5J8Zit4zAn5XESnQ1ug==" spinCount="100000" sheet="1" objects="1" scenarios="1" selectLockedCells="1" selectUnlockedCells="1"/>
  <mergeCells count="3">
    <mergeCell ref="J6:M6"/>
    <mergeCell ref="E29:F29"/>
    <mergeCell ref="C3:F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3E5C-CFB0-450A-A4C0-8FABEE246A1E}">
  <sheetPr codeName="Sheet2"/>
  <dimension ref="B3:AD40"/>
  <sheetViews>
    <sheetView topLeftCell="A20" workbookViewId="0">
      <selection activeCell="AC37" sqref="AC37"/>
    </sheetView>
  </sheetViews>
  <sheetFormatPr defaultRowHeight="15" x14ac:dyDescent="0.25"/>
  <cols>
    <col min="1" max="2" width="3.28515625" customWidth="1"/>
    <col min="3" max="3" width="63.42578125" customWidth="1"/>
    <col min="4" max="4" width="10.42578125" customWidth="1"/>
    <col min="5" max="29" width="12.7109375" customWidth="1"/>
  </cols>
  <sheetData>
    <row r="3" spans="2:30" ht="18.75" x14ac:dyDescent="0.25">
      <c r="B3" s="1" t="s">
        <v>0</v>
      </c>
      <c r="C3" s="2"/>
      <c r="D3" s="2"/>
      <c r="E3" s="2"/>
      <c r="F3" s="2"/>
      <c r="G3" s="2"/>
      <c r="H3" s="2"/>
      <c r="I3" s="3"/>
      <c r="J3" s="118"/>
      <c r="K3" s="118"/>
      <c r="L3" s="118"/>
      <c r="M3" s="11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4"/>
    </row>
    <row r="4" spans="2:30" x14ac:dyDescent="0.25">
      <c r="B4" s="5"/>
      <c r="C4" s="6" t="s">
        <v>1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8"/>
    </row>
    <row r="5" spans="2:30" x14ac:dyDescent="0.25">
      <c r="B5" s="5"/>
      <c r="C5" s="6" t="s">
        <v>2</v>
      </c>
      <c r="D5" s="6"/>
      <c r="E5" s="9">
        <v>1</v>
      </c>
      <c r="F5" s="9">
        <v>2</v>
      </c>
      <c r="G5" s="9">
        <v>3</v>
      </c>
      <c r="H5" s="9">
        <v>4</v>
      </c>
      <c r="I5" s="9">
        <v>5</v>
      </c>
      <c r="J5" s="9">
        <v>6</v>
      </c>
      <c r="K5" s="9">
        <v>7</v>
      </c>
      <c r="L5" s="9">
        <v>8</v>
      </c>
      <c r="M5" s="9">
        <v>9</v>
      </c>
      <c r="N5" s="9">
        <v>10</v>
      </c>
      <c r="O5" s="9">
        <v>11</v>
      </c>
      <c r="P5" s="9">
        <v>12</v>
      </c>
      <c r="Q5" s="9">
        <v>13</v>
      </c>
      <c r="R5" s="9">
        <v>14</v>
      </c>
      <c r="S5" s="9">
        <v>15</v>
      </c>
      <c r="T5" s="9">
        <v>16</v>
      </c>
      <c r="U5" s="9">
        <v>17</v>
      </c>
      <c r="V5" s="9">
        <v>18</v>
      </c>
      <c r="W5" s="9">
        <v>19</v>
      </c>
      <c r="X5" s="9">
        <v>20</v>
      </c>
      <c r="Y5" s="9">
        <v>21</v>
      </c>
      <c r="Z5" s="9">
        <v>22</v>
      </c>
      <c r="AA5" s="9">
        <v>23</v>
      </c>
      <c r="AB5" s="9">
        <v>24</v>
      </c>
      <c r="AC5" s="9">
        <v>25</v>
      </c>
      <c r="AD5" s="8"/>
    </row>
    <row r="6" spans="2:30" x14ac:dyDescent="0.25">
      <c r="B6" s="5"/>
      <c r="C6" s="6" t="s">
        <v>216</v>
      </c>
      <c r="D6" s="6"/>
      <c r="E6" s="10">
        <f>IF(E5&lt;=$E$17,'Atsipirkimo vertinimas'!$N$8*'Atsipirkimo vertinimas'!$N$9,0)</f>
        <v>9.6</v>
      </c>
      <c r="F6" s="10">
        <f>IF(F5&lt;=$E$17,'Atsipirkimo vertinimas'!$N$8*'Atsipirkimo vertinimas'!$N$9,0)</f>
        <v>9.6</v>
      </c>
      <c r="G6" s="10">
        <f>IF(G5&lt;=$E$17,'Atsipirkimo vertinimas'!$N$8*'Atsipirkimo vertinimas'!$N$9,0)</f>
        <v>9.6</v>
      </c>
      <c r="H6" s="10">
        <f>IF(H5&lt;=$E$17,'Atsipirkimo vertinimas'!$N$8*'Atsipirkimo vertinimas'!$N$9,0)</f>
        <v>9.6</v>
      </c>
      <c r="I6" s="10">
        <f>IF(I5&lt;=$E$17,'Atsipirkimo vertinimas'!$N$8*'Atsipirkimo vertinimas'!$N$9,0)</f>
        <v>9.6</v>
      </c>
      <c r="J6" s="10">
        <f>IF(J5&lt;=$E$17,'Atsipirkimo vertinimas'!$N$8*'Atsipirkimo vertinimas'!$N$9,0)</f>
        <v>9.6</v>
      </c>
      <c r="K6" s="10">
        <f>IF(K5&lt;=$E$17,'Atsipirkimo vertinimas'!$N$8*'Atsipirkimo vertinimas'!$N$9,0)</f>
        <v>9.6</v>
      </c>
      <c r="L6" s="10">
        <f>IF(L5&lt;=$E$17,'Atsipirkimo vertinimas'!$N$8*'Atsipirkimo vertinimas'!$N$9,0)</f>
        <v>9.6</v>
      </c>
      <c r="M6" s="10">
        <f>IF(M5&lt;=$E$17,'Atsipirkimo vertinimas'!$N$8*'Atsipirkimo vertinimas'!$N$9,0)</f>
        <v>9.6</v>
      </c>
      <c r="N6" s="10">
        <f>IF(N5&lt;=$E$17,'Atsipirkimo vertinimas'!$N$8*'Atsipirkimo vertinimas'!$N$9,0)</f>
        <v>9.6</v>
      </c>
      <c r="O6" s="10">
        <f>IF(O5&lt;=$E$17,'Atsipirkimo vertinimas'!$N$8*'Atsipirkimo vertinimas'!$N$9,0)</f>
        <v>9.6</v>
      </c>
      <c r="P6" s="10">
        <f>IF(P5&lt;=$E$17,'Atsipirkimo vertinimas'!$N$8*'Atsipirkimo vertinimas'!$N$9,0)</f>
        <v>9.6</v>
      </c>
      <c r="Q6" s="10">
        <f>IF(Q5&lt;=$E$17,'Atsipirkimo vertinimas'!$N$8*'Atsipirkimo vertinimas'!$N$9,0)</f>
        <v>9.6</v>
      </c>
      <c r="R6" s="10">
        <f>IF(R5&lt;=$E$17,'Atsipirkimo vertinimas'!$N$8*'Atsipirkimo vertinimas'!$N$9,0)</f>
        <v>9.6</v>
      </c>
      <c r="S6" s="10">
        <f>IF(S5&lt;=$E$17,'Atsipirkimo vertinimas'!$N$8*'Atsipirkimo vertinimas'!$N$9,0)</f>
        <v>9.6</v>
      </c>
      <c r="T6" s="10">
        <f>IF(T5&lt;=$E$17,'Atsipirkimo vertinimas'!$N$8*'Atsipirkimo vertinimas'!$N$9,0)</f>
        <v>9.6</v>
      </c>
      <c r="U6" s="10">
        <f>IF(U5&lt;=$E$17,'Atsipirkimo vertinimas'!$N$8*'Atsipirkimo vertinimas'!$N$9,0)</f>
        <v>9.6</v>
      </c>
      <c r="V6" s="10">
        <f>IF(V5&lt;=$E$17,'Atsipirkimo vertinimas'!$N$8*'Atsipirkimo vertinimas'!$N$9,0)</f>
        <v>9.6</v>
      </c>
      <c r="W6" s="10">
        <f>IF(W5&lt;=$E$17,'Atsipirkimo vertinimas'!$N$8*'Atsipirkimo vertinimas'!$N$9,0)</f>
        <v>9.6</v>
      </c>
      <c r="X6" s="10">
        <f>IF(X5&lt;=$E$17,'Atsipirkimo vertinimas'!$N$8*'Atsipirkimo vertinimas'!$N$9,0)</f>
        <v>9.6</v>
      </c>
      <c r="Y6" s="10">
        <f>IF(Y5&lt;=$E$17,'Atsipirkimo vertinimas'!$N$8*'Atsipirkimo vertinimas'!$N$9,0)</f>
        <v>9.6</v>
      </c>
      <c r="Z6" s="10">
        <f>IF(Z5&lt;=$E$17,'Atsipirkimo vertinimas'!$N$8*'Atsipirkimo vertinimas'!$N$9,0)</f>
        <v>9.6</v>
      </c>
      <c r="AA6" s="10">
        <f>IF(AA5&lt;=$E$17,'Atsipirkimo vertinimas'!$N$8*'Atsipirkimo vertinimas'!$N$9,0)</f>
        <v>0</v>
      </c>
      <c r="AB6" s="10">
        <f>IF(AB5&lt;=$E$17,'Atsipirkimo vertinimas'!$N$8*'Atsipirkimo vertinimas'!$N$9,0)</f>
        <v>0</v>
      </c>
      <c r="AC6" s="10">
        <f>IF(AC5&lt;=$E$17,'Atsipirkimo vertinimas'!$N$8*'Atsipirkimo vertinimas'!$N$9,0)</f>
        <v>0</v>
      </c>
      <c r="AD6" s="8"/>
    </row>
    <row r="7" spans="2:30" x14ac:dyDescent="0.25">
      <c r="B7" s="11"/>
      <c r="C7" s="6" t="s">
        <v>215</v>
      </c>
      <c r="D7" s="6"/>
      <c r="E7" s="10">
        <f>IF(E5&lt;=$E$17,'Atsipirkimo vertinimas'!$F$13*'Atsipirkimo vertinimas'!$F$14,0)</f>
        <v>9.1333333333333346</v>
      </c>
      <c r="F7" s="10">
        <f>IF(F5&lt;=$E$17,'Atsipirkimo vertinimas'!$F$13*'Atsipirkimo vertinimas'!$F$14,0)</f>
        <v>9.1333333333333346</v>
      </c>
      <c r="G7" s="10">
        <f>IF(G5&lt;=$E$17,'Atsipirkimo vertinimas'!$F$13*'Atsipirkimo vertinimas'!$F$14,0)</f>
        <v>9.1333333333333346</v>
      </c>
      <c r="H7" s="10">
        <f>IF(H5&lt;=$E$17,'Atsipirkimo vertinimas'!$F$13*'Atsipirkimo vertinimas'!$F$14,0)</f>
        <v>9.1333333333333346</v>
      </c>
      <c r="I7" s="10">
        <f>IF(I5&lt;=$E$17,'Atsipirkimo vertinimas'!$F$13*'Atsipirkimo vertinimas'!$F$14,0)</f>
        <v>9.1333333333333346</v>
      </c>
      <c r="J7" s="10">
        <f>IF(J5&lt;=$E$17,'Atsipirkimo vertinimas'!$F$13*'Atsipirkimo vertinimas'!$F$14,0)</f>
        <v>9.1333333333333346</v>
      </c>
      <c r="K7" s="10">
        <f>IF(K5&lt;=$E$17,'Atsipirkimo vertinimas'!$F$13*'Atsipirkimo vertinimas'!$F$14,0)</f>
        <v>9.1333333333333346</v>
      </c>
      <c r="L7" s="10">
        <f>IF(L5&lt;=$E$17,'Atsipirkimo vertinimas'!$F$13*'Atsipirkimo vertinimas'!$F$14,0)</f>
        <v>9.1333333333333346</v>
      </c>
      <c r="M7" s="10">
        <f>IF(M5&lt;=$E$17,'Atsipirkimo vertinimas'!$F$13*'Atsipirkimo vertinimas'!$F$14,0)</f>
        <v>9.1333333333333346</v>
      </c>
      <c r="N7" s="10">
        <f>IF(N5&lt;=$E$17,'Atsipirkimo vertinimas'!$F$13*'Atsipirkimo vertinimas'!$F$14,0)</f>
        <v>9.1333333333333346</v>
      </c>
      <c r="O7" s="10">
        <f>IF(O5&lt;=$E$17,'Atsipirkimo vertinimas'!$F$13*'Atsipirkimo vertinimas'!$F$14,0)</f>
        <v>9.1333333333333346</v>
      </c>
      <c r="P7" s="10">
        <f>IF(P5&lt;=$E$17,'Atsipirkimo vertinimas'!$F$13*'Atsipirkimo vertinimas'!$F$14,0)</f>
        <v>9.1333333333333346</v>
      </c>
      <c r="Q7" s="10">
        <f>IF(Q5&lt;=$E$17,'Atsipirkimo vertinimas'!$F$13*'Atsipirkimo vertinimas'!$F$14,0)</f>
        <v>9.1333333333333346</v>
      </c>
      <c r="R7" s="10">
        <f>IF(R5&lt;=$E$17,'Atsipirkimo vertinimas'!$F$13*'Atsipirkimo vertinimas'!$F$14,0)</f>
        <v>9.1333333333333346</v>
      </c>
      <c r="S7" s="10">
        <f>IF(S5&lt;=$E$17,'Atsipirkimo vertinimas'!$F$13*'Atsipirkimo vertinimas'!$F$14,0)</f>
        <v>9.1333333333333346</v>
      </c>
      <c r="T7" s="10">
        <f>IF(T5&lt;=$E$17,'Atsipirkimo vertinimas'!$F$13*'Atsipirkimo vertinimas'!$F$14,0)</f>
        <v>9.1333333333333346</v>
      </c>
      <c r="U7" s="10">
        <f>IF(U5&lt;=$E$17,'Atsipirkimo vertinimas'!$F$13*'Atsipirkimo vertinimas'!$F$14,0)</f>
        <v>9.1333333333333346</v>
      </c>
      <c r="V7" s="10">
        <f>IF(V5&lt;=$E$17,'Atsipirkimo vertinimas'!$F$13*'Atsipirkimo vertinimas'!$F$14,0)</f>
        <v>9.1333333333333346</v>
      </c>
      <c r="W7" s="10">
        <f>IF(W5&lt;=$E$17,'Atsipirkimo vertinimas'!$F$13*'Atsipirkimo vertinimas'!$F$14,0)</f>
        <v>9.1333333333333346</v>
      </c>
      <c r="X7" s="10">
        <f>IF(X5&lt;=$E$17,'Atsipirkimo vertinimas'!$F$13*'Atsipirkimo vertinimas'!$F$14,0)</f>
        <v>9.1333333333333346</v>
      </c>
      <c r="Y7" s="10">
        <f>IF(Y5&lt;=$E$17,'Atsipirkimo vertinimas'!$F$13*'Atsipirkimo vertinimas'!$F$14,0)</f>
        <v>9.1333333333333346</v>
      </c>
      <c r="Z7" s="10">
        <f>IF(Z5&lt;=$E$17,'Atsipirkimo vertinimas'!$F$13*'Atsipirkimo vertinimas'!$F$14,0)</f>
        <v>9.1333333333333346</v>
      </c>
      <c r="AA7" s="10">
        <f>IF(AA5&lt;=$E$17,'Atsipirkimo vertinimas'!$F$13*'Atsipirkimo vertinimas'!$F$14,0)</f>
        <v>0</v>
      </c>
      <c r="AB7" s="10">
        <f>IF(AB5&lt;=$E$17,'Atsipirkimo vertinimas'!$F$13*'Atsipirkimo vertinimas'!$F$14,0)</f>
        <v>0</v>
      </c>
      <c r="AC7" s="10">
        <f>IF(AC5&lt;=$E$17,'Atsipirkimo vertinimas'!$F$13*'Atsipirkimo vertinimas'!$F$14,0)</f>
        <v>0</v>
      </c>
      <c r="AD7" s="8"/>
    </row>
    <row r="8" spans="2:30" x14ac:dyDescent="0.25">
      <c r="B8" s="11"/>
      <c r="C8" s="6" t="s">
        <v>217</v>
      </c>
      <c r="D8" s="6"/>
      <c r="E8" s="10">
        <f t="shared" ref="E8:AC8" si="0">IF(E5&lt;=$E$17,$E$12,0)</f>
        <v>0.6</v>
      </c>
      <c r="F8" s="10">
        <f t="shared" si="0"/>
        <v>0.6</v>
      </c>
      <c r="G8" s="10">
        <f t="shared" si="0"/>
        <v>0.6</v>
      </c>
      <c r="H8" s="10">
        <f t="shared" si="0"/>
        <v>0.6</v>
      </c>
      <c r="I8" s="10">
        <f t="shared" si="0"/>
        <v>0.6</v>
      </c>
      <c r="J8" s="10">
        <f t="shared" si="0"/>
        <v>0.6</v>
      </c>
      <c r="K8" s="10">
        <f t="shared" si="0"/>
        <v>0.6</v>
      </c>
      <c r="L8" s="10">
        <f t="shared" si="0"/>
        <v>0.6</v>
      </c>
      <c r="M8" s="10">
        <f t="shared" si="0"/>
        <v>0.6</v>
      </c>
      <c r="N8" s="10">
        <f t="shared" si="0"/>
        <v>0.6</v>
      </c>
      <c r="O8" s="10">
        <f t="shared" si="0"/>
        <v>0.6</v>
      </c>
      <c r="P8" s="10">
        <f t="shared" si="0"/>
        <v>0.6</v>
      </c>
      <c r="Q8" s="10">
        <f t="shared" si="0"/>
        <v>0.6</v>
      </c>
      <c r="R8" s="10">
        <f t="shared" si="0"/>
        <v>0.6</v>
      </c>
      <c r="S8" s="10">
        <f t="shared" si="0"/>
        <v>0.6</v>
      </c>
      <c r="T8" s="10">
        <f t="shared" si="0"/>
        <v>0.6</v>
      </c>
      <c r="U8" s="10">
        <f t="shared" si="0"/>
        <v>0.6</v>
      </c>
      <c r="V8" s="10">
        <f t="shared" si="0"/>
        <v>0.6</v>
      </c>
      <c r="W8" s="10">
        <f t="shared" si="0"/>
        <v>0.6</v>
      </c>
      <c r="X8" s="10">
        <f t="shared" si="0"/>
        <v>0.6</v>
      </c>
      <c r="Y8" s="10">
        <f t="shared" si="0"/>
        <v>0.6</v>
      </c>
      <c r="Z8" s="10">
        <f t="shared" si="0"/>
        <v>0.6</v>
      </c>
      <c r="AA8" s="10">
        <f t="shared" si="0"/>
        <v>0</v>
      </c>
      <c r="AB8" s="10">
        <f t="shared" si="0"/>
        <v>0</v>
      </c>
      <c r="AC8" s="10">
        <f t="shared" si="0"/>
        <v>0</v>
      </c>
      <c r="AD8" s="8"/>
    </row>
    <row r="9" spans="2:30" x14ac:dyDescent="0.25">
      <c r="B9" s="5"/>
      <c r="C9" s="12" t="s">
        <v>3</v>
      </c>
      <c r="D9" s="12"/>
      <c r="E9" s="10">
        <f>(1+DISCONT)^(-E5)*(SUM(E6:E8))</f>
        <v>18.589743589743591</v>
      </c>
      <c r="F9" s="10">
        <f t="shared" ref="F9:AC9" si="1">(1+DISCONT)^(-F5)*(SUM(F6:F8))</f>
        <v>17.874753451676529</v>
      </c>
      <c r="G9" s="10">
        <f t="shared" si="1"/>
        <v>17.187262934304357</v>
      </c>
      <c r="H9" s="10">
        <f t="shared" si="1"/>
        <v>16.526214359908032</v>
      </c>
      <c r="I9" s="10">
        <f t="shared" si="1"/>
        <v>15.890590730680799</v>
      </c>
      <c r="J9" s="10">
        <f t="shared" si="1"/>
        <v>15.279414164116153</v>
      </c>
      <c r="K9" s="10">
        <f t="shared" si="1"/>
        <v>14.691744388573225</v>
      </c>
      <c r="L9" s="10">
        <f t="shared" si="1"/>
        <v>14.126677296705022</v>
      </c>
      <c r="M9" s="10">
        <f t="shared" si="1"/>
        <v>13.583343554524056</v>
      </c>
      <c r="N9" s="10">
        <f t="shared" si="1"/>
        <v>13.06090726396544</v>
      </c>
      <c r="O9" s="10">
        <f t="shared" si="1"/>
        <v>12.558564676889848</v>
      </c>
      <c r="P9" s="10">
        <f t="shared" si="1"/>
        <v>12.075542958547928</v>
      </c>
      <c r="Q9" s="10">
        <f t="shared" si="1"/>
        <v>11.611098998603776</v>
      </c>
      <c r="R9" s="10">
        <f t="shared" si="1"/>
        <v>11.164518267888248</v>
      </c>
      <c r="S9" s="10">
        <f t="shared" si="1"/>
        <v>10.735113719123314</v>
      </c>
      <c r="T9" s="10">
        <f t="shared" si="1"/>
        <v>10.322224729926262</v>
      </c>
      <c r="U9" s="10">
        <f t="shared" si="1"/>
        <v>9.9252160864675592</v>
      </c>
      <c r="V9" s="10">
        <f t="shared" si="1"/>
        <v>9.5434770062188061</v>
      </c>
      <c r="W9" s="10">
        <f t="shared" si="1"/>
        <v>9.1764201982873139</v>
      </c>
      <c r="X9" s="10">
        <f t="shared" si="1"/>
        <v>8.823480959891647</v>
      </c>
      <c r="Y9" s="10">
        <f t="shared" si="1"/>
        <v>8.4841163075881205</v>
      </c>
      <c r="Z9" s="10">
        <f t="shared" si="1"/>
        <v>8.1578041419116545</v>
      </c>
      <c r="AA9" s="10">
        <f t="shared" si="1"/>
        <v>0</v>
      </c>
      <c r="AB9" s="10">
        <f t="shared" si="1"/>
        <v>0</v>
      </c>
      <c r="AC9" s="10">
        <f t="shared" si="1"/>
        <v>0</v>
      </c>
      <c r="AD9" s="8"/>
    </row>
    <row r="10" spans="2:30" x14ac:dyDescent="0.25">
      <c r="B10" s="5"/>
      <c r="C10" s="12" t="s">
        <v>4</v>
      </c>
      <c r="D10" s="12"/>
      <c r="E10" s="10">
        <f>E9</f>
        <v>18.589743589743591</v>
      </c>
      <c r="F10" s="10">
        <f>F9+E10</f>
        <v>36.464497041420117</v>
      </c>
      <c r="G10" s="10">
        <f t="shared" ref="G10:AC10" si="2">G9+F10</f>
        <v>53.651759975724474</v>
      </c>
      <c r="H10" s="10">
        <f t="shared" si="2"/>
        <v>70.177974335632513</v>
      </c>
      <c r="I10" s="10">
        <f t="shared" si="2"/>
        <v>86.068565066313312</v>
      </c>
      <c r="J10" s="10">
        <f t="shared" si="2"/>
        <v>101.34797923042946</v>
      </c>
      <c r="K10" s="10">
        <f t="shared" si="2"/>
        <v>116.03972361900269</v>
      </c>
      <c r="L10" s="10">
        <f t="shared" si="2"/>
        <v>130.1664009157077</v>
      </c>
      <c r="M10" s="10">
        <f t="shared" si="2"/>
        <v>143.74974447023175</v>
      </c>
      <c r="N10" s="10">
        <f t="shared" si="2"/>
        <v>156.81065173419719</v>
      </c>
      <c r="O10" s="10">
        <f t="shared" si="2"/>
        <v>169.36921641108705</v>
      </c>
      <c r="P10" s="10">
        <f t="shared" si="2"/>
        <v>181.44475936963499</v>
      </c>
      <c r="Q10" s="10">
        <f t="shared" si="2"/>
        <v>193.05585836823877</v>
      </c>
      <c r="R10" s="10">
        <f t="shared" si="2"/>
        <v>204.22037663612701</v>
      </c>
      <c r="S10" s="10">
        <f t="shared" si="2"/>
        <v>214.95549035525033</v>
      </c>
      <c r="T10" s="10">
        <f t="shared" si="2"/>
        <v>225.2777150851766</v>
      </c>
      <c r="U10" s="10">
        <f t="shared" si="2"/>
        <v>235.20293117164417</v>
      </c>
      <c r="V10" s="10">
        <f t="shared" si="2"/>
        <v>244.74640817786297</v>
      </c>
      <c r="W10" s="10">
        <f t="shared" si="2"/>
        <v>253.92282837615028</v>
      </c>
      <c r="X10" s="10">
        <f t="shared" si="2"/>
        <v>262.74630933604192</v>
      </c>
      <c r="Y10" s="10">
        <f t="shared" si="2"/>
        <v>271.23042564363004</v>
      </c>
      <c r="Z10" s="10">
        <f t="shared" si="2"/>
        <v>279.38822978554168</v>
      </c>
      <c r="AA10" s="10">
        <f t="shared" si="2"/>
        <v>279.38822978554168</v>
      </c>
      <c r="AB10" s="10">
        <f t="shared" si="2"/>
        <v>279.38822978554168</v>
      </c>
      <c r="AC10" s="10">
        <f t="shared" si="2"/>
        <v>279.38822978554168</v>
      </c>
      <c r="AD10" s="8"/>
    </row>
    <row r="11" spans="2:30" x14ac:dyDescent="0.25">
      <c r="B11" s="5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8"/>
    </row>
    <row r="12" spans="2:30" x14ac:dyDescent="0.25">
      <c r="B12" s="5"/>
      <c r="C12" s="12" t="s">
        <v>199</v>
      </c>
      <c r="D12" s="12"/>
      <c r="E12" s="10">
        <f>IF('Atsipirkimo vertinimas'!$F$9&gt;3000,0.36,0.6)</f>
        <v>0.6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8"/>
    </row>
    <row r="13" spans="2:30" x14ac:dyDescent="0.25">
      <c r="B13" s="5"/>
      <c r="C13" s="12" t="s">
        <v>5</v>
      </c>
      <c r="D13" s="12"/>
      <c r="E13" s="13">
        <f>'Atsipirkimo vertinimas'!N12</f>
        <v>300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14"/>
      <c r="Y13" s="14"/>
      <c r="Z13" s="14"/>
      <c r="AA13" s="14"/>
      <c r="AB13" s="14"/>
      <c r="AC13" s="14"/>
      <c r="AD13" s="8"/>
    </row>
    <row r="14" spans="2:30" x14ac:dyDescent="0.25">
      <c r="B14" s="5"/>
      <c r="C14" s="12" t="s">
        <v>6</v>
      </c>
      <c r="D14" s="12"/>
      <c r="E14" s="13">
        <f>E13*'Atsipirkimo vertinimas'!N13</f>
        <v>90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14"/>
      <c r="Y14" s="14"/>
      <c r="Z14" s="14"/>
      <c r="AA14" s="14"/>
      <c r="AB14" s="14"/>
      <c r="AC14" s="14"/>
      <c r="AD14" s="8"/>
    </row>
    <row r="15" spans="2:30" x14ac:dyDescent="0.25">
      <c r="B15" s="5"/>
      <c r="C15" s="12" t="s">
        <v>7</v>
      </c>
      <c r="D15" s="12"/>
      <c r="E15" s="13">
        <f>E13-E14</f>
        <v>210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14"/>
      <c r="Y15" s="14"/>
      <c r="Z15" s="14"/>
      <c r="AA15" s="14"/>
      <c r="AB15" s="14"/>
      <c r="AC15" s="14"/>
      <c r="AD15" s="8"/>
    </row>
    <row r="16" spans="2:30" x14ac:dyDescent="0.25">
      <c r="B16" s="5"/>
      <c r="C16" s="12" t="s">
        <v>27</v>
      </c>
      <c r="D16" s="12"/>
      <c r="E16" s="59">
        <f>'Atsipirkimo vertinimas'!N20/12</f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4"/>
      <c r="Y16" s="14"/>
      <c r="Z16" s="14"/>
      <c r="AA16" s="14"/>
      <c r="AB16" s="14"/>
      <c r="AC16" s="14"/>
      <c r="AD16" s="8"/>
    </row>
    <row r="17" spans="2:30" x14ac:dyDescent="0.25">
      <c r="B17" s="5"/>
      <c r="C17" s="12" t="s">
        <v>35</v>
      </c>
      <c r="D17" s="12"/>
      <c r="E17" s="59">
        <f>20+'Atsipirkimo vertinimas'!N20/12</f>
        <v>22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14"/>
      <c r="Y17" s="14"/>
      <c r="Z17" s="14"/>
      <c r="AA17" s="14"/>
      <c r="AB17" s="14"/>
      <c r="AC17" s="14"/>
      <c r="AD17" s="8"/>
    </row>
    <row r="18" spans="2:30" x14ac:dyDescent="0.25">
      <c r="B18" s="5"/>
      <c r="C18" s="6" t="s">
        <v>8</v>
      </c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8"/>
    </row>
    <row r="19" spans="2:30" x14ac:dyDescent="0.25">
      <c r="B19" s="5"/>
      <c r="C19" s="6" t="s">
        <v>2</v>
      </c>
      <c r="D19" s="6"/>
      <c r="E19" s="9">
        <v>1</v>
      </c>
      <c r="F19" s="9">
        <v>2</v>
      </c>
      <c r="G19" s="9">
        <v>3</v>
      </c>
      <c r="H19" s="9">
        <v>4</v>
      </c>
      <c r="I19" s="9">
        <v>5</v>
      </c>
      <c r="J19" s="9">
        <v>6</v>
      </c>
      <c r="K19" s="9">
        <v>7</v>
      </c>
      <c r="L19" s="9">
        <v>8</v>
      </c>
      <c r="M19" s="9">
        <v>9</v>
      </c>
      <c r="N19" s="9">
        <v>10</v>
      </c>
      <c r="O19" s="9">
        <v>11</v>
      </c>
      <c r="P19" s="9">
        <v>12</v>
      </c>
      <c r="Q19" s="9">
        <v>13</v>
      </c>
      <c r="R19" s="9">
        <v>14</v>
      </c>
      <c r="S19" s="9">
        <v>15</v>
      </c>
      <c r="T19" s="9">
        <v>16</v>
      </c>
      <c r="U19" s="9">
        <v>17</v>
      </c>
      <c r="V19" s="9">
        <v>18</v>
      </c>
      <c r="W19" s="9">
        <v>19</v>
      </c>
      <c r="X19" s="9">
        <v>20</v>
      </c>
      <c r="Y19" s="9">
        <v>21</v>
      </c>
      <c r="Z19" s="9">
        <v>22</v>
      </c>
      <c r="AA19" s="9">
        <v>23</v>
      </c>
      <c r="AB19" s="9">
        <v>24</v>
      </c>
      <c r="AC19" s="9">
        <v>25</v>
      </c>
      <c r="AD19" s="8"/>
    </row>
    <row r="20" spans="2:30" x14ac:dyDescent="0.25">
      <c r="B20" s="15"/>
      <c r="C20" s="6" t="s">
        <v>218</v>
      </c>
      <c r="D20" s="6"/>
      <c r="E20" s="10">
        <f>Grafikas!$AB$14</f>
        <v>0</v>
      </c>
      <c r="F20" s="10">
        <f>Grafikas!$AB$15</f>
        <v>0</v>
      </c>
      <c r="G20" s="10">
        <f>Grafikas!$AB$16</f>
        <v>15.81302692524674</v>
      </c>
      <c r="H20" s="10">
        <f>Grafikas!$AB$17</f>
        <v>15.81302692524674</v>
      </c>
      <c r="I20" s="10">
        <f>Grafikas!$AB$18</f>
        <v>15.81302692524674</v>
      </c>
      <c r="J20" s="10">
        <f>Grafikas!$AB$19</f>
        <v>17.892328715125725</v>
      </c>
      <c r="K20" s="10">
        <f>Grafikas!$AB$20</f>
        <v>17.892328715125725</v>
      </c>
      <c r="L20" s="10">
        <f>Grafikas!$AB$21</f>
        <v>17.892328715125725</v>
      </c>
      <c r="M20" s="10">
        <f>Grafikas!$AB$22</f>
        <v>17.892328715125725</v>
      </c>
      <c r="N20" s="10">
        <f>Grafikas!$AB$23</f>
        <v>17.892328715125725</v>
      </c>
      <c r="O20" s="10">
        <f>Grafikas!$AB$24</f>
        <v>17.892328715125725</v>
      </c>
      <c r="P20" s="10">
        <f>Grafikas!$AB$25</f>
        <v>17.892328715125725</v>
      </c>
      <c r="Q20" s="10">
        <f>Grafikas!$AB$26</f>
        <v>17.892328715125725</v>
      </c>
      <c r="R20" s="10">
        <f>Grafikas!$AB$27</f>
        <v>17.892328715125725</v>
      </c>
      <c r="S20" s="10">
        <f>Grafikas!$AB$28</f>
        <v>17.892328715125725</v>
      </c>
      <c r="T20" s="10">
        <f>Grafikas!$AB$29</f>
        <v>17.892328715125725</v>
      </c>
      <c r="U20" s="10">
        <f>Grafikas!$AB$30</f>
        <v>17.892328715125725</v>
      </c>
      <c r="V20" s="10">
        <f>Grafikas!$AB$31</f>
        <v>17.892328715125725</v>
      </c>
      <c r="W20" s="10">
        <f>Grafikas!$AB$32</f>
        <v>17.892328715125725</v>
      </c>
      <c r="X20" s="10">
        <f>Grafikas!$AB$33</f>
        <v>17.892328715125572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8"/>
    </row>
    <row r="21" spans="2:30" x14ac:dyDescent="0.25">
      <c r="B21" s="16"/>
      <c r="C21" s="6" t="s">
        <v>219</v>
      </c>
      <c r="D21" s="6"/>
      <c r="E21" s="10">
        <f>-IF(E19=$E$16,'Atsipirkimo vertinimas'!$F$11/'Atsipirkimo vertinimas'!$F$9*Klasifikatorius!$O$34,0)</f>
        <v>0</v>
      </c>
      <c r="F21" s="10">
        <f>-IF(F19=$E$16,'Atsipirkimo vertinimas'!$F$11/'Atsipirkimo vertinimas'!$F$9*Klasifikatorius!$O$34,0)</f>
        <v>-15</v>
      </c>
      <c r="G21" s="10">
        <f>-IF(G19=$E$16,'Atsipirkimo vertinimas'!$F$11/'Atsipirkimo vertinimas'!$F$9*Klasifikatorius!$O$34,0)</f>
        <v>0</v>
      </c>
      <c r="H21" s="10">
        <f>-IF(H19=$E$16,'Atsipirkimo vertinimas'!$F$11/'Atsipirkimo vertinimas'!$F$9*Klasifikatorius!$O$34,0)</f>
        <v>0</v>
      </c>
      <c r="I21" s="10">
        <f>-IF(I19=$E$16,'Atsipirkimo vertinimas'!$F$11/'Atsipirkimo vertinimas'!$F$9*Klasifikatorius!$O$34,0)</f>
        <v>0</v>
      </c>
      <c r="J21" s="10">
        <f>-IF(J19=$E$16,'Atsipirkimo vertinimas'!$F$11/'Atsipirkimo vertinimas'!$F$9*Klasifikatorius!$O$34,0)</f>
        <v>0</v>
      </c>
      <c r="K21" s="10">
        <f>-IF(K19=$E$16,'Atsipirkimo vertinimas'!$F$11/'Atsipirkimo vertinimas'!$F$9*Klasifikatorius!$O$34,0)</f>
        <v>0</v>
      </c>
      <c r="L21" s="10">
        <f>-IF(L19=$E$16,'Atsipirkimo vertinimas'!$F$11/'Atsipirkimo vertinimas'!$F$9*Klasifikatorius!$O$34,0)</f>
        <v>0</v>
      </c>
      <c r="M21" s="10">
        <f>-IF(M19=$E$16,'Atsipirkimo vertinimas'!$F$11/'Atsipirkimo vertinimas'!$F$9*Klasifikatorius!$O$34,0)</f>
        <v>0</v>
      </c>
      <c r="N21" s="10">
        <f>-IF(N19=$E$16,'Atsipirkimo vertinimas'!$F$11/'Atsipirkimo vertinimas'!$F$9*Klasifikatorius!$O$34,0)</f>
        <v>0</v>
      </c>
      <c r="O21" s="10">
        <f>-IF(O19=$E$16,'Atsipirkimo vertinimas'!$F$11/'Atsipirkimo vertinimas'!$F$9*Klasifikatorius!$O$34,0)</f>
        <v>0</v>
      </c>
      <c r="P21" s="10">
        <f>-IF(P19=$E$16,'Atsipirkimo vertinimas'!$F$11/'Atsipirkimo vertinimas'!$F$9*Klasifikatorius!$O$34,0)</f>
        <v>0</v>
      </c>
      <c r="Q21" s="10">
        <f>-IF(Q19=$E$16,'Atsipirkimo vertinimas'!$F$11/'Atsipirkimo vertinimas'!$F$9*Klasifikatorius!$O$34,0)</f>
        <v>0</v>
      </c>
      <c r="R21" s="10">
        <f>-IF(R19=$E$16,'Atsipirkimo vertinimas'!$F$11/'Atsipirkimo vertinimas'!$F$9*Klasifikatorius!$O$34,0)</f>
        <v>0</v>
      </c>
      <c r="S21" s="10">
        <f>-IF(S19=$E$16,'Atsipirkimo vertinimas'!$F$11/'Atsipirkimo vertinimas'!$F$9*Klasifikatorius!$O$34,0)</f>
        <v>0</v>
      </c>
      <c r="T21" s="10">
        <f>-IF(T19=$E$16,'Atsipirkimo vertinimas'!$F$11/'Atsipirkimo vertinimas'!$F$9*Klasifikatorius!$O$34,0)</f>
        <v>0</v>
      </c>
      <c r="U21" s="10">
        <f>-IF(U19=$E$16,'Atsipirkimo vertinimas'!$F$11/'Atsipirkimo vertinimas'!$F$9*Klasifikatorius!$O$34,0)</f>
        <v>0</v>
      </c>
      <c r="V21" s="10">
        <f>-IF(V19=$E$16,'Atsipirkimo vertinimas'!$F$11/'Atsipirkimo vertinimas'!$F$9*Klasifikatorius!$O$34,0)</f>
        <v>0</v>
      </c>
      <c r="W21" s="10">
        <f>-IF(W19=$E$16,'Atsipirkimo vertinimas'!$F$11/'Atsipirkimo vertinimas'!$F$9*Klasifikatorius!$O$34,0)</f>
        <v>0</v>
      </c>
      <c r="X21" s="10">
        <f>-IF(X19=$E$16,'Atsipirkimo vertinimas'!$F$11/'Atsipirkimo vertinimas'!$F$9*Klasifikatorius!$O$34,0)</f>
        <v>0</v>
      </c>
      <c r="Y21" s="10">
        <f>-IF(Y19=$E$16,'Atsipirkimo vertinimas'!$F$11/'Atsipirkimo vertinimas'!$F$9*Klasifikatorius!$O$34,0)</f>
        <v>0</v>
      </c>
      <c r="Z21" s="10">
        <f>-IF(Z19=$E$16,'Atsipirkimo vertinimas'!$F$11/'Atsipirkimo vertinimas'!$F$9*Klasifikatorius!$O$34,0)</f>
        <v>0</v>
      </c>
      <c r="AA21" s="10">
        <f>-IF(AA19=$E$16,'Atsipirkimo vertinimas'!$F$11/'Atsipirkimo vertinimas'!$F$9*Klasifikatorius!$O$34,0)</f>
        <v>0</v>
      </c>
      <c r="AB21" s="10">
        <f>-IF(AB19=$E$16,'Atsipirkimo vertinimas'!$F$11/'Atsipirkimo vertinimas'!$F$9*Klasifikatorius!$O$34,0)</f>
        <v>0</v>
      </c>
      <c r="AC21" s="10">
        <f>-IF(AC19=$E$16,'Atsipirkimo vertinimas'!$F$11/'Atsipirkimo vertinimas'!$F$9*Klasifikatorius!$O$34,0)</f>
        <v>0</v>
      </c>
      <c r="AD21" s="8"/>
    </row>
    <row r="22" spans="2:30" x14ac:dyDescent="0.25">
      <c r="B22" s="15"/>
      <c r="C22" s="6" t="s">
        <v>221</v>
      </c>
      <c r="D22" s="6"/>
      <c r="E22" s="10">
        <f>IF(E19&lt;=$E$16,E6,IF(E19&gt;$E$17,0,'Atsipirkimo vertinimas'!$N$8*'Atsipirkimo vertinimas'!$N$9*(1-'Atsipirkimo vertinimas'!$N$11)))</f>
        <v>9.6</v>
      </c>
      <c r="F22" s="10">
        <f>IF(F19&lt;=$E$16,F6,IF(F19&gt;$E$17,0,'Atsipirkimo vertinimas'!$N$8*'Atsipirkimo vertinimas'!$N$9*(1-'Atsipirkimo vertinimas'!$N$11)))</f>
        <v>9.6</v>
      </c>
      <c r="G22" s="10">
        <f>IF(G19&lt;=$E$16,G6,IF(G19&gt;$E$17,0,'Atsipirkimo vertinimas'!$N$8*'Atsipirkimo vertinimas'!$N$9*(1-'Atsipirkimo vertinimas'!$N$11)))</f>
        <v>3.84</v>
      </c>
      <c r="H22" s="10">
        <f>IF(H19&lt;=$E$16,H6,IF(H19&gt;$E$17,0,'Atsipirkimo vertinimas'!$N$8*'Atsipirkimo vertinimas'!$N$9*(1-'Atsipirkimo vertinimas'!$N$11)))</f>
        <v>3.84</v>
      </c>
      <c r="I22" s="10">
        <f>IF(I19&lt;=$E$16,I6,IF(I19&gt;$E$17,0,'Atsipirkimo vertinimas'!$N$8*'Atsipirkimo vertinimas'!$N$9*(1-'Atsipirkimo vertinimas'!$N$11)))</f>
        <v>3.84</v>
      </c>
      <c r="J22" s="10">
        <f>IF(J19&lt;=$E$16,J6,IF(J19&gt;$E$17,0,'Atsipirkimo vertinimas'!$N$8*'Atsipirkimo vertinimas'!$N$9*(1-'Atsipirkimo vertinimas'!$N$11)))</f>
        <v>3.84</v>
      </c>
      <c r="K22" s="10">
        <f>IF(K19&lt;=$E$16,K6,IF(K19&gt;$E$17,0,'Atsipirkimo vertinimas'!$N$8*'Atsipirkimo vertinimas'!$N$9*(1-'Atsipirkimo vertinimas'!$N$11)))</f>
        <v>3.84</v>
      </c>
      <c r="L22" s="10">
        <f>IF(L19&lt;=$E$16,L6,IF(L19&gt;$E$17,0,'Atsipirkimo vertinimas'!$N$8*'Atsipirkimo vertinimas'!$N$9*(1-'Atsipirkimo vertinimas'!$N$11)))</f>
        <v>3.84</v>
      </c>
      <c r="M22" s="10">
        <f>IF(M19&lt;=$E$16,M6,IF(M19&gt;$E$17,0,'Atsipirkimo vertinimas'!$N$8*'Atsipirkimo vertinimas'!$N$9*(1-'Atsipirkimo vertinimas'!$N$11)))</f>
        <v>3.84</v>
      </c>
      <c r="N22" s="10">
        <f>IF(N19&lt;=$E$16,N6,IF(N19&gt;$E$17,0,'Atsipirkimo vertinimas'!$N$8*'Atsipirkimo vertinimas'!$N$9*(1-'Atsipirkimo vertinimas'!$N$11)))</f>
        <v>3.84</v>
      </c>
      <c r="O22" s="10">
        <f>IF(O19&lt;=$E$16,O6,IF(O19&gt;$E$17,0,'Atsipirkimo vertinimas'!$N$8*'Atsipirkimo vertinimas'!$N$9*(1-'Atsipirkimo vertinimas'!$N$11)))</f>
        <v>3.84</v>
      </c>
      <c r="P22" s="10">
        <f>IF(P19&lt;=$E$16,P6,IF(P19&gt;$E$17,0,'Atsipirkimo vertinimas'!$N$8*'Atsipirkimo vertinimas'!$N$9*(1-'Atsipirkimo vertinimas'!$N$11)))</f>
        <v>3.84</v>
      </c>
      <c r="Q22" s="10">
        <f>IF(Q19&lt;=$E$16,Q6,IF(Q19&gt;$E$17,0,'Atsipirkimo vertinimas'!$N$8*'Atsipirkimo vertinimas'!$N$9*(1-'Atsipirkimo vertinimas'!$N$11)))</f>
        <v>3.84</v>
      </c>
      <c r="R22" s="10">
        <f>IF(R19&lt;=$E$16,R6,IF(R19&gt;$E$17,0,'Atsipirkimo vertinimas'!$N$8*'Atsipirkimo vertinimas'!$N$9*(1-'Atsipirkimo vertinimas'!$N$11)))</f>
        <v>3.84</v>
      </c>
      <c r="S22" s="10">
        <f>IF(S19&lt;=$E$16,S6,IF(S19&gt;$E$17,0,'Atsipirkimo vertinimas'!$N$8*'Atsipirkimo vertinimas'!$N$9*(1-'Atsipirkimo vertinimas'!$N$11)))</f>
        <v>3.84</v>
      </c>
      <c r="T22" s="10">
        <f>IF(T19&lt;=$E$16,T6,IF(T19&gt;$E$17,0,'Atsipirkimo vertinimas'!$N$8*'Atsipirkimo vertinimas'!$N$9*(1-'Atsipirkimo vertinimas'!$N$11)))</f>
        <v>3.84</v>
      </c>
      <c r="U22" s="10">
        <f>IF(U19&lt;=$E$16,U6,IF(U19&gt;$E$17,0,'Atsipirkimo vertinimas'!$N$8*'Atsipirkimo vertinimas'!$N$9*(1-'Atsipirkimo vertinimas'!$N$11)))</f>
        <v>3.84</v>
      </c>
      <c r="V22" s="10">
        <f>IF(V19&lt;=$E$16,V6,IF(V19&gt;$E$17,0,'Atsipirkimo vertinimas'!$N$8*'Atsipirkimo vertinimas'!$N$9*(1-'Atsipirkimo vertinimas'!$N$11)))</f>
        <v>3.84</v>
      </c>
      <c r="W22" s="10">
        <f>IF(W19&lt;=$E$16,W6,IF(W19&gt;$E$17,0,'Atsipirkimo vertinimas'!$N$8*'Atsipirkimo vertinimas'!$N$9*(1-'Atsipirkimo vertinimas'!$N$11)))</f>
        <v>3.84</v>
      </c>
      <c r="X22" s="10">
        <f>IF(X19&lt;=$E$16,X6,IF(X19&gt;$E$17,0,'Atsipirkimo vertinimas'!$N$8*'Atsipirkimo vertinimas'!$N$9*(1-'Atsipirkimo vertinimas'!$N$11)))</f>
        <v>3.84</v>
      </c>
      <c r="Y22" s="10">
        <f>IF(Y19&lt;=$E$16,Y6,IF(Y19&gt;$E$17,0,'Atsipirkimo vertinimas'!$N$8*'Atsipirkimo vertinimas'!$N$9*(1-'Atsipirkimo vertinimas'!$N$11)))</f>
        <v>3.84</v>
      </c>
      <c r="Z22" s="10">
        <f>IF(Z19&lt;=$E$16,Z6,IF(Z19&gt;$E$17,0,'Atsipirkimo vertinimas'!$N$8*'Atsipirkimo vertinimas'!$N$9*(1-'Atsipirkimo vertinimas'!$N$11)))</f>
        <v>3.84</v>
      </c>
      <c r="AA22" s="10">
        <f>IF(AA19&lt;=$E$16,AA6,IF(AA19&gt;$E$17,0,'Atsipirkimo vertinimas'!$N$8*'Atsipirkimo vertinimas'!$N$9*(1-'Atsipirkimo vertinimas'!$N$11)))</f>
        <v>0</v>
      </c>
      <c r="AB22" s="10">
        <f>IF(AB19&lt;=$E$16,AB6,IF(AB19&gt;$E$17,0,'Atsipirkimo vertinimas'!$N$8*'Atsipirkimo vertinimas'!$N$9*(1-'Atsipirkimo vertinimas'!$N$11)))</f>
        <v>0</v>
      </c>
      <c r="AC22" s="10">
        <f>IF(AC19&lt;=$E$16,AC6,IF(AC19&gt;$E$17,0,'Atsipirkimo vertinimas'!$N$8*'Atsipirkimo vertinimas'!$N$9*(1-'Atsipirkimo vertinimas'!$N$11)))</f>
        <v>0</v>
      </c>
      <c r="AD22" s="8"/>
    </row>
    <row r="23" spans="2:30" x14ac:dyDescent="0.25">
      <c r="B23" s="15"/>
      <c r="C23" s="6" t="s">
        <v>220</v>
      </c>
      <c r="D23" s="6"/>
      <c r="E23" s="10">
        <f>IF(E19&gt;$E$16,(((('Atsipirkimo vertinimas'!$N$10-Klasifikatorius!$O$32)*Klasifikatorius!$O$33)/(('Atsipirkimo vertinimas'!$F$15-Klasifikatorius!$O$32)*Klasifikatorius!$O$33))-1)*E22,0)</f>
        <v>0</v>
      </c>
      <c r="F23" s="10">
        <f>IF(F19&gt;$E$16,(((('Atsipirkimo vertinimas'!$N$10-Klasifikatorius!$O$32)*Klasifikatorius!$O$33)/(('Atsipirkimo vertinimas'!$F$15-Klasifikatorius!$O$32)*Klasifikatorius!$O$33))-1)*F22,0)</f>
        <v>0</v>
      </c>
      <c r="G23" s="10">
        <f>IF(G19&gt;$E$16,(((('Atsipirkimo vertinimas'!$N$10-Klasifikatorius!$O$32)*Klasifikatorius!$O$33)/(('Atsipirkimo vertinimas'!$F$15-Klasifikatorius!$O$32)*Klasifikatorius!$O$33))-1)*G22,0)</f>
        <v>0.48261985543590469</v>
      </c>
      <c r="H23" s="10">
        <f>IF(H19&gt;$E$16,(((('Atsipirkimo vertinimas'!$N$10-Klasifikatorius!$O$32)*Klasifikatorius!$O$33)/(('Atsipirkimo vertinimas'!$F$15-Klasifikatorius!$O$32)*Klasifikatorius!$O$33))-1)*H22,0)</f>
        <v>0.48261985543590469</v>
      </c>
      <c r="I23" s="10">
        <f>IF(I19&gt;$E$16,(((('Atsipirkimo vertinimas'!$N$10-Klasifikatorius!$O$32)*Klasifikatorius!$O$33)/(('Atsipirkimo vertinimas'!$F$15-Klasifikatorius!$O$32)*Klasifikatorius!$O$33))-1)*I22,0)</f>
        <v>0.48261985543590469</v>
      </c>
      <c r="J23" s="10">
        <f>IF(J19&gt;$E$16,(((('Atsipirkimo vertinimas'!$N$10-Klasifikatorius!$O$32)*Klasifikatorius!$O$33)/(('Atsipirkimo vertinimas'!$F$15-Klasifikatorius!$O$32)*Klasifikatorius!$O$33))-1)*J22,0)</f>
        <v>0.48261985543590469</v>
      </c>
      <c r="K23" s="10">
        <f>IF(K19&gt;$E$16,(((('Atsipirkimo vertinimas'!$N$10-Klasifikatorius!$O$32)*Klasifikatorius!$O$33)/(('Atsipirkimo vertinimas'!$F$15-Klasifikatorius!$O$32)*Klasifikatorius!$O$33))-1)*K22,0)</f>
        <v>0.48261985543590469</v>
      </c>
      <c r="L23" s="10">
        <f>IF(L19&gt;$E$16,(((('Atsipirkimo vertinimas'!$N$10-Klasifikatorius!$O$32)*Klasifikatorius!$O$33)/(('Atsipirkimo vertinimas'!$F$15-Klasifikatorius!$O$32)*Klasifikatorius!$O$33))-1)*L22,0)</f>
        <v>0.48261985543590469</v>
      </c>
      <c r="M23" s="10">
        <f>IF(M19&gt;$E$16,(((('Atsipirkimo vertinimas'!$N$10-Klasifikatorius!$O$32)*Klasifikatorius!$O$33)/(('Atsipirkimo vertinimas'!$F$15-Klasifikatorius!$O$32)*Klasifikatorius!$O$33))-1)*M22,0)</f>
        <v>0.48261985543590469</v>
      </c>
      <c r="N23" s="10">
        <f>IF(N19&gt;$E$16,(((('Atsipirkimo vertinimas'!$N$10-Klasifikatorius!$O$32)*Klasifikatorius!$O$33)/(('Atsipirkimo vertinimas'!$F$15-Klasifikatorius!$O$32)*Klasifikatorius!$O$33))-1)*N22,0)</f>
        <v>0.48261985543590469</v>
      </c>
      <c r="O23" s="10">
        <f>IF(O19&gt;$E$16,(((('Atsipirkimo vertinimas'!$N$10-Klasifikatorius!$O$32)*Klasifikatorius!$O$33)/(('Atsipirkimo vertinimas'!$F$15-Klasifikatorius!$O$32)*Klasifikatorius!$O$33))-1)*O22,0)</f>
        <v>0.48261985543590469</v>
      </c>
      <c r="P23" s="10">
        <f>IF(P19&gt;$E$16,(((('Atsipirkimo vertinimas'!$N$10-Klasifikatorius!$O$32)*Klasifikatorius!$O$33)/(('Atsipirkimo vertinimas'!$F$15-Klasifikatorius!$O$32)*Klasifikatorius!$O$33))-1)*P22,0)</f>
        <v>0.48261985543590469</v>
      </c>
      <c r="Q23" s="10">
        <f>IF(Q19&gt;$E$16,(((('Atsipirkimo vertinimas'!$N$10-Klasifikatorius!$O$32)*Klasifikatorius!$O$33)/(('Atsipirkimo vertinimas'!$F$15-Klasifikatorius!$O$32)*Klasifikatorius!$O$33))-1)*Q22,0)</f>
        <v>0.48261985543590469</v>
      </c>
      <c r="R23" s="10">
        <f>IF(R19&gt;$E$16,(((('Atsipirkimo vertinimas'!$N$10-Klasifikatorius!$O$32)*Klasifikatorius!$O$33)/(('Atsipirkimo vertinimas'!$F$15-Klasifikatorius!$O$32)*Klasifikatorius!$O$33))-1)*R22,0)</f>
        <v>0.48261985543590469</v>
      </c>
      <c r="S23" s="10">
        <f>IF(S19&gt;$E$16,(((('Atsipirkimo vertinimas'!$N$10-Klasifikatorius!$O$32)*Klasifikatorius!$O$33)/(('Atsipirkimo vertinimas'!$F$15-Klasifikatorius!$O$32)*Klasifikatorius!$O$33))-1)*S22,0)</f>
        <v>0.48261985543590469</v>
      </c>
      <c r="T23" s="10">
        <f>IF(T19&gt;$E$16,(((('Atsipirkimo vertinimas'!$N$10-Klasifikatorius!$O$32)*Klasifikatorius!$O$33)/(('Atsipirkimo vertinimas'!$F$15-Klasifikatorius!$O$32)*Klasifikatorius!$O$33))-1)*T22,0)</f>
        <v>0.48261985543590469</v>
      </c>
      <c r="U23" s="10">
        <f>IF(U19&gt;$E$16,(((('Atsipirkimo vertinimas'!$N$10-Klasifikatorius!$O$32)*Klasifikatorius!$O$33)/(('Atsipirkimo vertinimas'!$F$15-Klasifikatorius!$O$32)*Klasifikatorius!$O$33))-1)*U22,0)</f>
        <v>0.48261985543590469</v>
      </c>
      <c r="V23" s="10">
        <f>IF(V19&gt;$E$16,(((('Atsipirkimo vertinimas'!$N$10-Klasifikatorius!$O$32)*Klasifikatorius!$O$33)/(('Atsipirkimo vertinimas'!$F$15-Klasifikatorius!$O$32)*Klasifikatorius!$O$33))-1)*V22,0)</f>
        <v>0.48261985543590469</v>
      </c>
      <c r="W23" s="10">
        <f>IF(W19&gt;$E$16,(((('Atsipirkimo vertinimas'!$N$10-Klasifikatorius!$O$32)*Klasifikatorius!$O$33)/(('Atsipirkimo vertinimas'!$F$15-Klasifikatorius!$O$32)*Klasifikatorius!$O$33))-1)*W22,0)</f>
        <v>0.48261985543590469</v>
      </c>
      <c r="X23" s="10">
        <f>IF(X19&gt;$E$16,(((('Atsipirkimo vertinimas'!$N$10-Klasifikatorius!$O$32)*Klasifikatorius!$O$33)/(('Atsipirkimo vertinimas'!$F$15-Klasifikatorius!$O$32)*Klasifikatorius!$O$33))-1)*X22,0)</f>
        <v>0.48261985543590469</v>
      </c>
      <c r="Y23" s="10">
        <f>IF(Y19&gt;$E$16,(((('Atsipirkimo vertinimas'!$N$10-Klasifikatorius!$O$32)*Klasifikatorius!$O$33)/(('Atsipirkimo vertinimas'!$F$15-Klasifikatorius!$O$32)*Klasifikatorius!$O$33))-1)*Y22,0)</f>
        <v>0.48261985543590469</v>
      </c>
      <c r="Z23" s="10">
        <f>IF(Z19&gt;$E$16,(((('Atsipirkimo vertinimas'!$N$10-Klasifikatorius!$O$32)*Klasifikatorius!$O$33)/(('Atsipirkimo vertinimas'!$F$15-Klasifikatorius!$O$32)*Klasifikatorius!$O$33))-1)*Z22,0)</f>
        <v>0.48261985543590469</v>
      </c>
      <c r="AA23" s="10">
        <f>IF(AA19&gt;$E$16,(((('Atsipirkimo vertinimas'!$N$10-Klasifikatorius!$O$32)*Klasifikatorius!$O$33)/(('Atsipirkimo vertinimas'!$F$15-Klasifikatorius!$O$32)*Klasifikatorius!$O$33))-1)*AA22,0)</f>
        <v>0</v>
      </c>
      <c r="AB23" s="10">
        <f>IF(AB19&gt;$E$16,(((('Atsipirkimo vertinimas'!$N$10-Klasifikatorius!$O$32)*Klasifikatorius!$O$33)/(('Atsipirkimo vertinimas'!$F$15-Klasifikatorius!$O$32)*Klasifikatorius!$O$33))-1)*AB22,0)</f>
        <v>0</v>
      </c>
      <c r="AC23" s="10">
        <f>IF(AC19&gt;$E$16,(((('Atsipirkimo vertinimas'!$N$10-Klasifikatorius!$O$32)*Klasifikatorius!$O$33)/(('Atsipirkimo vertinimas'!$F$15-Klasifikatorius!$O$32)*Klasifikatorius!$O$33))-1)*AC22,0)</f>
        <v>0</v>
      </c>
      <c r="AD23" s="8"/>
    </row>
    <row r="24" spans="2:30" x14ac:dyDescent="0.25">
      <c r="B24" s="15"/>
      <c r="C24" s="6" t="s">
        <v>217</v>
      </c>
      <c r="D24" s="6"/>
      <c r="E24" s="10" cm="1">
        <f t="array" ref="E24">IF(E19&lt;=$E$16,$E$12,IF(E19&lt;=$E$16+5,$E$12/2,IF(E19&lt;=$E$17,TP*$E$15,0)))</f>
        <v>0.6</v>
      </c>
      <c r="F24" s="10" cm="1">
        <f t="array" ref="F24">IF(F19&lt;=$E$16,$E$12,IF(F19&lt;=$E$16+5,$E$12/2,IF(F19&lt;=$E$17,TP*$E$15,0)))</f>
        <v>0.6</v>
      </c>
      <c r="G24" s="10" cm="1">
        <f t="array" ref="G24">IF(G19&lt;=$E$16,$E$12,IF(G19&lt;=$E$16+5,$E$12/2,IF(G19&lt;=$E$17,TP*$E$15,0)))</f>
        <v>0.3</v>
      </c>
      <c r="H24" s="10" cm="1">
        <f t="array" ref="H24">IF(H19&lt;=$E$16,$E$12,IF(H19&lt;=$E$16+5,$E$12/2,IF(H19&lt;=$E$17,TP*$E$15,0)))</f>
        <v>0.3</v>
      </c>
      <c r="I24" s="10" cm="1">
        <f t="array" ref="I24">IF(I19&lt;=$E$16,$E$12,IF(I19&lt;=$E$16+5,$E$12/2,IF(I19&lt;=$E$17,TP*$E$15,0)))</f>
        <v>0.3</v>
      </c>
      <c r="J24" s="10" cm="1">
        <f t="array" ref="J24">IF(J19&lt;=$E$16,$E$12,IF(J19&lt;=$E$16+5,$E$12/2,IF(J19&lt;=$E$17,TP*$E$15,0)))</f>
        <v>0.3</v>
      </c>
      <c r="K24" s="10" cm="1">
        <f t="array" ref="K24">IF(K19&lt;=$E$16,$E$12,IF(K19&lt;=$E$16+5,$E$12/2,IF(K19&lt;=$E$17,TP*$E$15,0)))</f>
        <v>0.3</v>
      </c>
      <c r="L24" s="10" cm="1">
        <f t="array" ref="L24">IF(L19&lt;=$E$16,$E$12,IF(L19&lt;=$E$16+5,$E$12/2,IF(L19&lt;=$E$17,TP*$E$15,0)))</f>
        <v>1.05</v>
      </c>
      <c r="M24" s="10" cm="1">
        <f t="array" ref="M24">IF(M19&lt;=$E$16,$E$12,IF(M19&lt;=$E$16+5,$E$12/2,IF(M19&lt;=$E$17,TP*$E$15,0)))</f>
        <v>1.05</v>
      </c>
      <c r="N24" s="10" cm="1">
        <f t="array" ref="N24">IF(N19&lt;=$E$16,$E$12,IF(N19&lt;=$E$16+5,$E$12/2,IF(N19&lt;=$E$17,TP*$E$15,0)))</f>
        <v>1.05</v>
      </c>
      <c r="O24" s="10" cm="1">
        <f t="array" ref="O24">IF(O19&lt;=$E$16,$E$12,IF(O19&lt;=$E$16+5,$E$12/2,IF(O19&lt;=$E$17,TP*$E$15,0)))</f>
        <v>1.05</v>
      </c>
      <c r="P24" s="10" cm="1">
        <f t="array" ref="P24">IF(P19&lt;=$E$16,$E$12,IF(P19&lt;=$E$16+5,$E$12/2,IF(P19&lt;=$E$17,TP*$E$15,0)))</f>
        <v>1.05</v>
      </c>
      <c r="Q24" s="10" cm="1">
        <f t="array" ref="Q24">IF(Q19&lt;=$E$16,$E$12,IF(Q19&lt;=$E$16+5,$E$12/2,IF(Q19&lt;=$E$17,TP*$E$15,0)))</f>
        <v>1.05</v>
      </c>
      <c r="R24" s="10" cm="1">
        <f t="array" ref="R24">IF(R19&lt;=$E$16,$E$12,IF(R19&lt;=$E$16+5,$E$12/2,IF(R19&lt;=$E$17,TP*$E$15,0)))</f>
        <v>1.05</v>
      </c>
      <c r="S24" s="10" cm="1">
        <f t="array" ref="S24">IF(S19&lt;=$E$16,$E$12,IF(S19&lt;=$E$16+5,$E$12/2,IF(S19&lt;=$E$17,TP*$E$15,0)))</f>
        <v>1.05</v>
      </c>
      <c r="T24" s="10" cm="1">
        <f t="array" ref="T24">IF(T19&lt;=$E$16,$E$12,IF(T19&lt;=$E$16+5,$E$12/2,IF(T19&lt;=$E$17,TP*$E$15,0)))</f>
        <v>1.05</v>
      </c>
      <c r="U24" s="10" cm="1">
        <f t="array" ref="U24">IF(U19&lt;=$E$16,$E$12,IF(U19&lt;=$E$16+5,$E$12/2,IF(U19&lt;=$E$17,TP*$E$15,0)))</f>
        <v>1.05</v>
      </c>
      <c r="V24" s="10" cm="1">
        <f t="array" ref="V24">IF(V19&lt;=$E$16,$E$12,IF(V19&lt;=$E$16+5,$E$12/2,IF(V19&lt;=$E$17,TP*$E$15,0)))</f>
        <v>1.05</v>
      </c>
      <c r="W24" s="10" cm="1">
        <f t="array" ref="W24">IF(W19&lt;=$E$16,$E$12,IF(W19&lt;=$E$16+5,$E$12/2,IF(W19&lt;=$E$17,TP*$E$15,0)))</f>
        <v>1.05</v>
      </c>
      <c r="X24" s="10" cm="1">
        <f t="array" ref="X24">IF(X19&lt;=$E$16,$E$12,IF(X19&lt;=$E$16+5,$E$12/2,IF(X19&lt;=$E$17,TP*$E$15,0)))</f>
        <v>1.05</v>
      </c>
      <c r="Y24" s="10" cm="1">
        <f t="array" ref="Y24">IF(Y19&lt;=$E$16,$E$12,IF(Y19&lt;=$E$16+5,$E$12/2,IF(Y19&lt;=$E$17,TP*$E$15,0)))</f>
        <v>1.05</v>
      </c>
      <c r="Z24" s="10" cm="1">
        <f t="array" ref="Z24">IF(Z19&lt;=$E$16,$E$12,IF(Z19&lt;=$E$16+5,$E$12/2,IF(Z19&lt;=$E$17,TP*$E$15,0)))</f>
        <v>1.05</v>
      </c>
      <c r="AA24" s="10" cm="1">
        <f t="array" ref="AA24">IF(AA19&lt;=$E$16,$E$12,IF(AA19&lt;=$E$16+5,$E$12/2,IF(AA19&lt;=$E$17,TP*$E$15,0)))</f>
        <v>0</v>
      </c>
      <c r="AB24" s="10" cm="1">
        <f t="array" ref="AB24">IF(AB19&lt;=$E$16,$E$12,IF(AB19&lt;=$E$16+5,$E$12/2,IF(AB19&lt;=$E$17,TP*$E$15,0)))</f>
        <v>0</v>
      </c>
      <c r="AC24" s="10" cm="1">
        <f t="array" ref="AC24">IF(AC19&lt;=$E$16,$E$12,IF(AC19&lt;=$E$16+5,$E$12/2,IF(AC19&lt;=$E$17,TP*$E$15,0)))</f>
        <v>0</v>
      </c>
      <c r="AD24" s="8"/>
    </row>
    <row r="25" spans="2:30" x14ac:dyDescent="0.25">
      <c r="B25" s="15"/>
      <c r="C25" s="12" t="s">
        <v>10</v>
      </c>
      <c r="D25" s="12"/>
      <c r="E25" s="10">
        <f>(1+DISCONT)^(-E19)*E20</f>
        <v>0</v>
      </c>
      <c r="F25" s="10">
        <f t="shared" ref="F25:AC25" si="3">(1+DISCONT)^(-F19)*F20</f>
        <v>0</v>
      </c>
      <c r="G25" s="10">
        <f t="shared" si="3"/>
        <v>14.057723356109486</v>
      </c>
      <c r="H25" s="10">
        <f t="shared" si="3"/>
        <v>13.517041688566811</v>
      </c>
      <c r="I25" s="10">
        <f t="shared" si="3"/>
        <v>12.997155469775779</v>
      </c>
      <c r="J25" s="10">
        <f t="shared" si="3"/>
        <v>14.140567282702454</v>
      </c>
      <c r="K25" s="10">
        <f t="shared" si="3"/>
        <v>13.596699310290823</v>
      </c>
      <c r="L25" s="10">
        <f t="shared" si="3"/>
        <v>13.073749336818096</v>
      </c>
      <c r="M25" s="10">
        <f t="shared" si="3"/>
        <v>12.570912823863553</v>
      </c>
      <c r="N25" s="10">
        <f t="shared" si="3"/>
        <v>12.087416176791878</v>
      </c>
      <c r="O25" s="10">
        <f t="shared" si="3"/>
        <v>11.622515554607576</v>
      </c>
      <c r="P25" s="10">
        <f t="shared" si="3"/>
        <v>11.175495725584206</v>
      </c>
      <c r="Q25" s="10">
        <f t="shared" si="3"/>
        <v>10.745668966907889</v>
      </c>
      <c r="R25" s="10">
        <f t="shared" si="3"/>
        <v>10.332374006642203</v>
      </c>
      <c r="S25" s="10">
        <f t="shared" si="3"/>
        <v>9.9349750063867326</v>
      </c>
      <c r="T25" s="10">
        <f t="shared" si="3"/>
        <v>9.5528605830641631</v>
      </c>
      <c r="U25" s="10">
        <f t="shared" si="3"/>
        <v>9.1854428683309273</v>
      </c>
      <c r="V25" s="10">
        <f t="shared" si="3"/>
        <v>8.8321566041643518</v>
      </c>
      <c r="W25" s="10">
        <f t="shared" si="3"/>
        <v>8.4924582732349538</v>
      </c>
      <c r="X25" s="10">
        <f t="shared" si="3"/>
        <v>8.1658252627258481</v>
      </c>
      <c r="Y25" s="10">
        <f t="shared" si="3"/>
        <v>0</v>
      </c>
      <c r="Z25" s="10">
        <f t="shared" si="3"/>
        <v>0</v>
      </c>
      <c r="AA25" s="10">
        <f t="shared" si="3"/>
        <v>0</v>
      </c>
      <c r="AB25" s="10">
        <f t="shared" si="3"/>
        <v>0</v>
      </c>
      <c r="AC25" s="10">
        <f t="shared" si="3"/>
        <v>0</v>
      </c>
      <c r="AD25" s="8"/>
    </row>
    <row r="26" spans="2:30" x14ac:dyDescent="0.25">
      <c r="B26" s="5"/>
      <c r="C26" s="12" t="s">
        <v>11</v>
      </c>
      <c r="D26" s="12"/>
      <c r="E26" s="10">
        <f>(1+DISCONT)^(-E19)*(SUM(E21:E24))</f>
        <v>9.8076923076923066</v>
      </c>
      <c r="F26" s="10">
        <f t="shared" ref="F26:AC26" si="4">(1+DISCONT)^(-F19)*(SUM(F21:F24))</f>
        <v>-4.4378698224852071</v>
      </c>
      <c r="G26" s="10">
        <f t="shared" si="4"/>
        <v>4.1094922190023899</v>
      </c>
      <c r="H26" s="10">
        <f t="shared" si="4"/>
        <v>3.9514348259638359</v>
      </c>
      <c r="I26" s="10">
        <f t="shared" si="4"/>
        <v>3.799456563426765</v>
      </c>
      <c r="J26" s="10">
        <f t="shared" si="4"/>
        <v>3.6533236186795817</v>
      </c>
      <c r="K26" s="10">
        <f t="shared" si="4"/>
        <v>3.5128111718072907</v>
      </c>
      <c r="L26" s="10">
        <f t="shared" si="4"/>
        <v>3.9257207035661894</v>
      </c>
      <c r="M26" s="10">
        <f t="shared" si="4"/>
        <v>3.77473144573672</v>
      </c>
      <c r="N26" s="10">
        <f t="shared" si="4"/>
        <v>3.6295494670545385</v>
      </c>
      <c r="O26" s="10">
        <f t="shared" si="4"/>
        <v>3.4899514106293648</v>
      </c>
      <c r="P26" s="10">
        <f t="shared" si="4"/>
        <v>3.3557225102205419</v>
      </c>
      <c r="Q26" s="10">
        <f t="shared" si="4"/>
        <v>3.2266562598274442</v>
      </c>
      <c r="R26" s="10">
        <f t="shared" si="4"/>
        <v>3.1025540959879274</v>
      </c>
      <c r="S26" s="10">
        <f t="shared" si="4"/>
        <v>2.9832250922960837</v>
      </c>
      <c r="T26" s="10">
        <f t="shared" si="4"/>
        <v>2.868485665669311</v>
      </c>
      <c r="U26" s="10">
        <f t="shared" si="4"/>
        <v>2.758159293912799</v>
      </c>
      <c r="V26" s="10">
        <f t="shared" si="4"/>
        <v>2.6520762441469219</v>
      </c>
      <c r="W26" s="10">
        <f t="shared" si="4"/>
        <v>2.5500733116797325</v>
      </c>
      <c r="X26" s="10">
        <f t="shared" si="4"/>
        <v>2.4519935689228198</v>
      </c>
      <c r="Y26" s="10">
        <f t="shared" si="4"/>
        <v>2.3576861239642493</v>
      </c>
      <c r="Z26" s="10">
        <f t="shared" si="4"/>
        <v>2.2670058884271627</v>
      </c>
      <c r="AA26" s="10">
        <f t="shared" si="4"/>
        <v>0</v>
      </c>
      <c r="AB26" s="10">
        <f t="shared" si="4"/>
        <v>0</v>
      </c>
      <c r="AC26" s="10">
        <f t="shared" si="4"/>
        <v>0</v>
      </c>
      <c r="AD26" s="8"/>
    </row>
    <row r="27" spans="2:30" x14ac:dyDescent="0.25">
      <c r="B27" s="5"/>
      <c r="C27" s="12" t="s">
        <v>4</v>
      </c>
      <c r="D27" s="12"/>
      <c r="E27" s="10">
        <f>E26+IF(E19=$E$16,SUM($F$25:$X$25),0)</f>
        <v>9.8076923076923066</v>
      </c>
      <c r="F27" s="10">
        <f>F26+E27+IF(F19=$E$16,SUM($F$25:$X$25),0)</f>
        <v>209.45086078177482</v>
      </c>
      <c r="G27" s="10">
        <f>G26+F27+IF(G19=$E$16,SUM($F$25:$X$25),0)</f>
        <v>213.56035300077721</v>
      </c>
      <c r="H27" s="10">
        <f>H26+G27+IF(H19=$E$16,SUM($F$25:$X$25),0)</f>
        <v>217.51178782674106</v>
      </c>
      <c r="I27" s="10">
        <f>I26+H27+IF(I19=$E$16,SUM($F$25:$X$25),0)</f>
        <v>221.31124439016781</v>
      </c>
      <c r="J27" s="10">
        <f t="shared" ref="J27:AC27" si="5">J26+I27</f>
        <v>224.96456800884741</v>
      </c>
      <c r="K27" s="10">
        <f t="shared" si="5"/>
        <v>228.47737918065471</v>
      </c>
      <c r="L27" s="10">
        <f t="shared" si="5"/>
        <v>232.40309988422089</v>
      </c>
      <c r="M27" s="10">
        <f t="shared" si="5"/>
        <v>236.17783132995763</v>
      </c>
      <c r="N27" s="10">
        <f t="shared" si="5"/>
        <v>239.80738079701217</v>
      </c>
      <c r="O27" s="10">
        <f t="shared" si="5"/>
        <v>243.29733220764155</v>
      </c>
      <c r="P27" s="10">
        <f t="shared" si="5"/>
        <v>246.65305471786209</v>
      </c>
      <c r="Q27" s="10">
        <f t="shared" si="5"/>
        <v>249.87971097768954</v>
      </c>
      <c r="R27" s="10">
        <f t="shared" si="5"/>
        <v>252.98226507367747</v>
      </c>
      <c r="S27" s="10">
        <f t="shared" si="5"/>
        <v>255.96549016597356</v>
      </c>
      <c r="T27" s="10">
        <f t="shared" si="5"/>
        <v>258.83397583164287</v>
      </c>
      <c r="U27" s="10">
        <f t="shared" si="5"/>
        <v>261.59213512555567</v>
      </c>
      <c r="V27" s="10">
        <f t="shared" si="5"/>
        <v>264.24421136970261</v>
      </c>
      <c r="W27" s="10">
        <f t="shared" si="5"/>
        <v>266.79428468138235</v>
      </c>
      <c r="X27" s="10">
        <f t="shared" si="5"/>
        <v>269.24627825030518</v>
      </c>
      <c r="Y27" s="10">
        <f t="shared" si="5"/>
        <v>271.60396437426942</v>
      </c>
      <c r="Z27" s="10">
        <f t="shared" si="5"/>
        <v>273.87097026269657</v>
      </c>
      <c r="AA27" s="10">
        <f t="shared" si="5"/>
        <v>273.87097026269657</v>
      </c>
      <c r="AB27" s="10">
        <f t="shared" si="5"/>
        <v>273.87097026269657</v>
      </c>
      <c r="AC27" s="10">
        <f t="shared" si="5"/>
        <v>273.87097026269657</v>
      </c>
      <c r="AD27" s="8"/>
    </row>
    <row r="28" spans="2:30" x14ac:dyDescent="0.25">
      <c r="B28" s="5"/>
      <c r="C28" s="12" t="s">
        <v>12</v>
      </c>
      <c r="D28" s="12"/>
      <c r="E28" s="122">
        <f>IF(AC27&gt;AC10,"—",MAX(E31:AC31)+(MAX(E32:AC32)))</f>
        <v>21.063410545492442</v>
      </c>
      <c r="F28" s="123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8"/>
    </row>
    <row r="29" spans="2:30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9"/>
    </row>
    <row r="31" spans="2:30" x14ac:dyDescent="0.25">
      <c r="C31" s="12" t="s">
        <v>200</v>
      </c>
      <c r="D31" s="12"/>
      <c r="E31" s="64">
        <f t="shared" ref="E31:AC31" si="6">IF(E10&gt;E27,0,E19)</f>
        <v>0</v>
      </c>
      <c r="F31" s="64">
        <f t="shared" si="6"/>
        <v>2</v>
      </c>
      <c r="G31" s="64">
        <f t="shared" si="6"/>
        <v>3</v>
      </c>
      <c r="H31" s="64">
        <f t="shared" si="6"/>
        <v>4</v>
      </c>
      <c r="I31" s="64">
        <f t="shared" si="6"/>
        <v>5</v>
      </c>
      <c r="J31" s="64">
        <f t="shared" si="6"/>
        <v>6</v>
      </c>
      <c r="K31" s="64">
        <f t="shared" si="6"/>
        <v>7</v>
      </c>
      <c r="L31" s="64">
        <f t="shared" si="6"/>
        <v>8</v>
      </c>
      <c r="M31" s="64">
        <f t="shared" si="6"/>
        <v>9</v>
      </c>
      <c r="N31" s="64">
        <f t="shared" si="6"/>
        <v>10</v>
      </c>
      <c r="O31" s="64">
        <f t="shared" si="6"/>
        <v>11</v>
      </c>
      <c r="P31" s="64">
        <f t="shared" si="6"/>
        <v>12</v>
      </c>
      <c r="Q31" s="64">
        <f t="shared" si="6"/>
        <v>13</v>
      </c>
      <c r="R31" s="64">
        <f t="shared" si="6"/>
        <v>14</v>
      </c>
      <c r="S31" s="64">
        <f t="shared" si="6"/>
        <v>15</v>
      </c>
      <c r="T31" s="64">
        <f t="shared" si="6"/>
        <v>16</v>
      </c>
      <c r="U31" s="64">
        <f t="shared" si="6"/>
        <v>17</v>
      </c>
      <c r="V31" s="64">
        <f t="shared" si="6"/>
        <v>18</v>
      </c>
      <c r="W31" s="64">
        <f t="shared" si="6"/>
        <v>19</v>
      </c>
      <c r="X31" s="64">
        <f t="shared" si="6"/>
        <v>20</v>
      </c>
      <c r="Y31" s="64">
        <f t="shared" si="6"/>
        <v>21</v>
      </c>
      <c r="Z31" s="64">
        <f t="shared" si="6"/>
        <v>0</v>
      </c>
      <c r="AA31" s="64">
        <f t="shared" si="6"/>
        <v>0</v>
      </c>
      <c r="AB31" s="64">
        <f t="shared" si="6"/>
        <v>0</v>
      </c>
      <c r="AC31" s="64">
        <f t="shared" si="6"/>
        <v>0</v>
      </c>
    </row>
    <row r="32" spans="2:30" x14ac:dyDescent="0.25">
      <c r="C32" s="12" t="s">
        <v>200</v>
      </c>
      <c r="D32" s="12"/>
      <c r="E32" s="64">
        <f t="shared" ref="E32:AC32" si="7">IF(AND(E27-E10&gt;0,F27-F10&lt;0),(E27-E10)/(((E27-E10)-(F27-F10))),0)</f>
        <v>0</v>
      </c>
      <c r="F32" s="64">
        <f t="shared" si="7"/>
        <v>0</v>
      </c>
      <c r="G32" s="64">
        <f t="shared" si="7"/>
        <v>0</v>
      </c>
      <c r="H32" s="64">
        <f t="shared" si="7"/>
        <v>0</v>
      </c>
      <c r="I32" s="64">
        <f t="shared" si="7"/>
        <v>0</v>
      </c>
      <c r="J32" s="64">
        <f t="shared" si="7"/>
        <v>0</v>
      </c>
      <c r="K32" s="64">
        <f t="shared" si="7"/>
        <v>0</v>
      </c>
      <c r="L32" s="64">
        <f t="shared" si="7"/>
        <v>0</v>
      </c>
      <c r="M32" s="64">
        <f t="shared" si="7"/>
        <v>0</v>
      </c>
      <c r="N32" s="64">
        <f t="shared" si="7"/>
        <v>0</v>
      </c>
      <c r="O32" s="64">
        <f t="shared" si="7"/>
        <v>0</v>
      </c>
      <c r="P32" s="64">
        <f t="shared" si="7"/>
        <v>0</v>
      </c>
      <c r="Q32" s="64">
        <f t="shared" si="7"/>
        <v>0</v>
      </c>
      <c r="R32" s="64">
        <f t="shared" si="7"/>
        <v>0</v>
      </c>
      <c r="S32" s="64">
        <f t="shared" si="7"/>
        <v>0</v>
      </c>
      <c r="T32" s="64">
        <f t="shared" si="7"/>
        <v>0</v>
      </c>
      <c r="U32" s="64">
        <f t="shared" si="7"/>
        <v>0</v>
      </c>
      <c r="V32" s="64">
        <f t="shared" si="7"/>
        <v>0</v>
      </c>
      <c r="W32" s="64">
        <f t="shared" si="7"/>
        <v>0</v>
      </c>
      <c r="X32" s="64">
        <f t="shared" si="7"/>
        <v>0</v>
      </c>
      <c r="Y32" s="64">
        <f t="shared" si="7"/>
        <v>6.341054549244296E-2</v>
      </c>
      <c r="Z32" s="64">
        <f t="shared" si="7"/>
        <v>0</v>
      </c>
      <c r="AA32" s="64">
        <f t="shared" si="7"/>
        <v>0</v>
      </c>
      <c r="AB32" s="64">
        <f t="shared" si="7"/>
        <v>0</v>
      </c>
      <c r="AC32" s="64">
        <f t="shared" si="7"/>
        <v>0</v>
      </c>
    </row>
    <row r="34" spans="3:29" x14ac:dyDescent="0.25">
      <c r="D34" s="9">
        <v>0</v>
      </c>
      <c r="E34" s="9">
        <v>1</v>
      </c>
      <c r="F34" s="9">
        <v>2</v>
      </c>
      <c r="G34" s="9">
        <v>3</v>
      </c>
      <c r="H34" s="9">
        <v>4</v>
      </c>
      <c r="I34" s="9">
        <v>5</v>
      </c>
      <c r="J34" s="9">
        <v>6</v>
      </c>
      <c r="K34" s="9">
        <v>7</v>
      </c>
      <c r="L34" s="9">
        <v>8</v>
      </c>
      <c r="M34" s="9">
        <v>9</v>
      </c>
      <c r="N34" s="9">
        <v>10</v>
      </c>
      <c r="O34" s="9">
        <v>11</v>
      </c>
      <c r="P34" s="9">
        <v>12</v>
      </c>
      <c r="Q34" s="9">
        <v>13</v>
      </c>
      <c r="R34" s="9">
        <v>14</v>
      </c>
      <c r="S34" s="9">
        <v>15</v>
      </c>
      <c r="T34" s="9">
        <v>16</v>
      </c>
      <c r="U34" s="9">
        <v>17</v>
      </c>
      <c r="V34" s="9">
        <v>18</v>
      </c>
      <c r="W34" s="9">
        <v>19</v>
      </c>
      <c r="X34" s="9">
        <v>20</v>
      </c>
      <c r="Y34" s="9">
        <v>21</v>
      </c>
      <c r="Z34" s="9">
        <v>22</v>
      </c>
      <c r="AA34" s="9">
        <v>23</v>
      </c>
      <c r="AB34" s="9">
        <v>24</v>
      </c>
      <c r="AC34" s="9">
        <v>25</v>
      </c>
    </row>
    <row r="35" spans="3:29" x14ac:dyDescent="0.25">
      <c r="C35" s="75" t="s">
        <v>211</v>
      </c>
      <c r="D35" s="80">
        <f>D10*'Atsipirkimo vertinimas'!$F$9</f>
        <v>0</v>
      </c>
      <c r="E35" s="80">
        <f>E10*'Atsipirkimo vertinimas'!$F$9</f>
        <v>37179.48717948718</v>
      </c>
      <c r="F35" s="80">
        <f>F10*'Atsipirkimo vertinimas'!$F$9</f>
        <v>72928.994082840232</v>
      </c>
      <c r="G35" s="80">
        <f>G10*'Atsipirkimo vertinimas'!$F$9</f>
        <v>107303.51995144895</v>
      </c>
      <c r="H35" s="80">
        <f>H10*'Atsipirkimo vertinimas'!$F$9</f>
        <v>140355.94867126504</v>
      </c>
      <c r="I35" s="80">
        <f>I10*'Atsipirkimo vertinimas'!$F$9</f>
        <v>172137.13013262663</v>
      </c>
      <c r="J35" s="80">
        <f>J10*'Atsipirkimo vertinimas'!$F$9</f>
        <v>202695.95846085891</v>
      </c>
      <c r="K35" s="80">
        <f>K10*'Atsipirkimo vertinimas'!$F$9</f>
        <v>232079.44723800538</v>
      </c>
      <c r="L35" s="80">
        <f>L10*'Atsipirkimo vertinimas'!$F$9</f>
        <v>260332.80183141539</v>
      </c>
      <c r="M35" s="80">
        <f>M10*'Atsipirkimo vertinimas'!$F$9</f>
        <v>287499.48894046352</v>
      </c>
      <c r="N35" s="80">
        <f>N10*'Atsipirkimo vertinimas'!$F$9</f>
        <v>313621.30346839438</v>
      </c>
      <c r="O35" s="80">
        <f>O10*'Atsipirkimo vertinimas'!$F$9</f>
        <v>338738.4328221741</v>
      </c>
      <c r="P35" s="80">
        <f>P10*'Atsipirkimo vertinimas'!$F$9</f>
        <v>362889.51873926999</v>
      </c>
      <c r="Q35" s="80">
        <f>Q10*'Atsipirkimo vertinimas'!$F$9</f>
        <v>386111.71673647757</v>
      </c>
      <c r="R35" s="80">
        <f>R10*'Atsipirkimo vertinimas'!$F$9</f>
        <v>408440.75327225402</v>
      </c>
      <c r="S35" s="80">
        <f>S10*'Atsipirkimo vertinimas'!$F$9</f>
        <v>429910.98071050068</v>
      </c>
      <c r="T35" s="80">
        <f>T10*'Atsipirkimo vertinimas'!$F$9</f>
        <v>450555.43017035321</v>
      </c>
      <c r="U35" s="80">
        <f>U10*'Atsipirkimo vertinimas'!$F$9</f>
        <v>470405.86234328832</v>
      </c>
      <c r="V35" s="80">
        <f>V10*'Atsipirkimo vertinimas'!$F$9</f>
        <v>489492.81635572592</v>
      </c>
      <c r="W35" s="80">
        <f>W10*'Atsipirkimo vertinimas'!$F$9</f>
        <v>507845.65675230057</v>
      </c>
      <c r="X35" s="80">
        <f>X10*'Atsipirkimo vertinimas'!$F$9</f>
        <v>525492.61867208383</v>
      </c>
      <c r="Y35" s="80">
        <f>Y10*'Atsipirkimo vertinimas'!$F$9</f>
        <v>542460.85128726007</v>
      </c>
      <c r="Z35" s="80">
        <f>Z10*'Atsipirkimo vertinimas'!$F$9</f>
        <v>558776.45957108331</v>
      </c>
      <c r="AA35" s="80">
        <f>AA10*'Atsipirkimo vertinimas'!$F$9</f>
        <v>558776.45957108331</v>
      </c>
      <c r="AB35" s="80">
        <f>AB10*'Atsipirkimo vertinimas'!$F$9</f>
        <v>558776.45957108331</v>
      </c>
      <c r="AC35" s="80">
        <f>AC10*'Atsipirkimo vertinimas'!$F$9</f>
        <v>558776.45957108331</v>
      </c>
    </row>
    <row r="36" spans="3:29" x14ac:dyDescent="0.25">
      <c r="C36" s="75" t="s">
        <v>212</v>
      </c>
      <c r="D36" s="80">
        <f>D27*'Atsipirkimo vertinimas'!$F$9</f>
        <v>0</v>
      </c>
      <c r="E36" s="80">
        <f>E27*'Atsipirkimo vertinimas'!$F$9</f>
        <v>19615.384615384613</v>
      </c>
      <c r="F36" s="80">
        <f>F27*'Atsipirkimo vertinimas'!$F$9</f>
        <v>418901.72156354965</v>
      </c>
      <c r="G36" s="80">
        <f>G27*'Atsipirkimo vertinimas'!$F$9</f>
        <v>427120.70600155444</v>
      </c>
      <c r="H36" s="80">
        <f>H27*'Atsipirkimo vertinimas'!$F$9</f>
        <v>435023.57565348211</v>
      </c>
      <c r="I36" s="80">
        <f>I27*'Atsipirkimo vertinimas'!$F$9</f>
        <v>442622.48878033564</v>
      </c>
      <c r="J36" s="80">
        <f>J27*'Atsipirkimo vertinimas'!$F$9</f>
        <v>449929.13601769484</v>
      </c>
      <c r="K36" s="80">
        <f>K27*'Atsipirkimo vertinimas'!$F$9</f>
        <v>456954.75836130942</v>
      </c>
      <c r="L36" s="80">
        <f>L27*'Atsipirkimo vertinimas'!$F$9</f>
        <v>464806.19976844179</v>
      </c>
      <c r="M36" s="80">
        <f>M27*'Atsipirkimo vertinimas'!$F$9</f>
        <v>472355.66265991528</v>
      </c>
      <c r="N36" s="80">
        <f>N27*'Atsipirkimo vertinimas'!$F$9</f>
        <v>479614.76159402437</v>
      </c>
      <c r="O36" s="80">
        <f>O27*'Atsipirkimo vertinimas'!$F$9</f>
        <v>486594.66441528307</v>
      </c>
      <c r="P36" s="80">
        <f>P27*'Atsipirkimo vertinimas'!$F$9</f>
        <v>493306.10943572415</v>
      </c>
      <c r="Q36" s="80">
        <f>Q27*'Atsipirkimo vertinimas'!$F$9</f>
        <v>499759.42195537908</v>
      </c>
      <c r="R36" s="80">
        <f>R27*'Atsipirkimo vertinimas'!$F$9</f>
        <v>505964.53014735493</v>
      </c>
      <c r="S36" s="80">
        <f>S27*'Atsipirkimo vertinimas'!$F$9</f>
        <v>511930.98033194715</v>
      </c>
      <c r="T36" s="80">
        <f>T27*'Atsipirkimo vertinimas'!$F$9</f>
        <v>517667.95166328573</v>
      </c>
      <c r="U36" s="80">
        <f>U27*'Atsipirkimo vertinimas'!$F$9</f>
        <v>523184.27025111136</v>
      </c>
      <c r="V36" s="80">
        <f>V27*'Atsipirkimo vertinimas'!$F$9</f>
        <v>528488.42273940518</v>
      </c>
      <c r="W36" s="80">
        <f>W27*'Atsipirkimo vertinimas'!$F$9</f>
        <v>533588.56936276471</v>
      </c>
      <c r="X36" s="80">
        <f>X27*'Atsipirkimo vertinimas'!$F$9</f>
        <v>538492.55650061031</v>
      </c>
      <c r="Y36" s="80">
        <f>Y27*'Atsipirkimo vertinimas'!$F$9</f>
        <v>543207.92874853883</v>
      </c>
      <c r="Z36" s="80">
        <f>Z27*'Atsipirkimo vertinimas'!$F$9</f>
        <v>547741.94052539312</v>
      </c>
      <c r="AA36" s="80">
        <f>AA27*'Atsipirkimo vertinimas'!$F$9</f>
        <v>547741.94052539312</v>
      </c>
      <c r="AB36" s="80">
        <f>AB27*'Atsipirkimo vertinimas'!$F$9</f>
        <v>547741.94052539312</v>
      </c>
      <c r="AC36" s="80">
        <f>AC27*'Atsipirkimo vertinimas'!$F$9</f>
        <v>547741.94052539312</v>
      </c>
    </row>
    <row r="37" spans="3:29" x14ac:dyDescent="0.25">
      <c r="C37" t="str">
        <f>IF('Atsipirkimo vertinimas'!F21&gt;0,"Modernizavimo alternatyvos išlaidos bus didesnės, %", "Modernizavimo alternatyvos išlaidos bus mažesnės, %")</f>
        <v>Modernizavimo alternatyvos išlaidos bus mažesnės, %</v>
      </c>
      <c r="D37" s="72" t="str">
        <f>IF(D34&gt;('Atsipirkimo vertinimas'!$N$20/12),(D36/D35)-1,"")</f>
        <v/>
      </c>
      <c r="E37" s="72" t="str">
        <f>IF(E34&gt;('Atsipirkimo vertinimas'!$N$20/12),(E36/E35)-1,"")</f>
        <v/>
      </c>
      <c r="F37" s="72" t="str">
        <f>IF(F34&gt;('Atsipirkimo vertinimas'!$N$20/12),(F36/F35)-1,"")</f>
        <v/>
      </c>
      <c r="G37" s="72">
        <f>IF(G34&gt;('Atsipirkimo vertinimas'!$N$20/12),(G36-G35)/G36,"")</f>
        <v>0.74877471767650983</v>
      </c>
      <c r="H37" s="72">
        <f>IF(H34&gt;('Atsipirkimo vertinimas'!$N$20/12),(H36-H35)/H36,"")</f>
        <v>0.677360132814812</v>
      </c>
      <c r="I37" s="72">
        <f>IF(I34&gt;('Atsipirkimo vertinimas'!$N$20/12),(I36-I35)/I36,"")</f>
        <v>0.61109718892287301</v>
      </c>
      <c r="J37" s="72">
        <f>IF(J34&gt;('Atsipirkimo vertinimas'!$N$20/12),(J36-J35)/J36,"")</f>
        <v>0.54949359302464185</v>
      </c>
      <c r="K37" s="72">
        <f>IF(K34&gt;('Atsipirkimo vertinimas'!$N$20/12),(K36-K35)/K36,"")</f>
        <v>0.49211723263312085</v>
      </c>
      <c r="L37" s="72">
        <f>IF(L34&gt;('Atsipirkimo vertinimas'!$N$20/12),(L36-L35)/L36,"")</f>
        <v>0.4399110813041896</v>
      </c>
      <c r="M37" s="72">
        <f>IF(M34&gt;('Atsipirkimo vertinimas'!$N$20/12),(M36-M35)/M36,"")</f>
        <v>0.39134954512558423</v>
      </c>
      <c r="N37" s="72">
        <f>IF(N34&gt;('Atsipirkimo vertinimas'!$N$20/12),(N36-N35)/N36,"")</f>
        <v>0.34609747534446639</v>
      </c>
      <c r="O37" s="72">
        <f>IF(O34&gt;('Atsipirkimo vertinimas'!$N$20/12),(O36-O35)/O36,"")</f>
        <v>0.30385913041356616</v>
      </c>
      <c r="P37" s="72">
        <f>IF(P34&gt;('Atsipirkimo vertinimas'!$N$20/12),(P36-P35)/P36,"")</f>
        <v>0.26437254313682268</v>
      </c>
      <c r="Q37" s="72">
        <f>IF(Q34&gt;('Atsipirkimo vertinimas'!$N$20/12),(Q36-Q35)/Q36,"")</f>
        <v>0.22740482765535239</v>
      </c>
      <c r="R37" s="72">
        <f>IF(R34&gt;('Atsipirkimo vertinimas'!$N$20/12),(R36-R35)/R36,"")</f>
        <v>0.19274824827483164</v>
      </c>
      <c r="S37" s="72">
        <f>IF(S34&gt;('Atsipirkimo vertinimas'!$N$20/12),(S36-S35)/S36,"")</f>
        <v>0.16021690964720073</v>
      </c>
      <c r="T37" s="72">
        <f>IF(T34&gt;('Atsipirkimo vertinimas'!$N$20/12),(T36-T35)/T36,"")</f>
        <v>0.12964395666623282</v>
      </c>
      <c r="U37" s="72">
        <f>IF(U34&gt;('Atsipirkimo vertinimas'!$N$20/12),(U36-U35)/U36,"")</f>
        <v>0.10087919478636299</v>
      </c>
      <c r="V37" s="72">
        <f>IF(V34&gt;('Atsipirkimo vertinimas'!$N$20/12),(V36-V35)/V36,"")</f>
        <v>7.3787058913318493E-2</v>
      </c>
      <c r="W37" s="72">
        <f>IF(W34&gt;('Atsipirkimo vertinimas'!$N$20/12),(W36-W35)/W36,"")</f>
        <v>4.8244872713835457E-2</v>
      </c>
      <c r="X37" s="72">
        <f>IF(X34&gt;('Atsipirkimo vertinimas'!$N$20/12),(X36-X35)/X36,"")</f>
        <v>2.4141351020720653E-2</v>
      </c>
      <c r="Y37" s="72">
        <f>IF(Y34&gt;('Atsipirkimo vertinimas'!$N$20/12),(Y36-Y35)/Y36,"")</f>
        <v>1.3753066215360799E-3</v>
      </c>
      <c r="Z37" s="72">
        <f>IF(Z34&gt;('Atsipirkimo vertinimas'!$N$20/12),(Z36-Z35)/Z36,"")</f>
        <v>-2.0145470392692405E-2</v>
      </c>
      <c r="AA37" s="72">
        <f>IF(AA34&gt;('Atsipirkimo vertinimas'!$N$20/12),(AA36-AA35)/AA36,"")</f>
        <v>-2.0145470392692405E-2</v>
      </c>
      <c r="AB37" s="72">
        <f>IF(AB34&gt;('Atsipirkimo vertinimas'!$N$20/12),(AB36-AB35)/AB36,"")</f>
        <v>-2.0145470392692405E-2</v>
      </c>
      <c r="AC37" s="72">
        <f>IF(AC34&gt;('Atsipirkimo vertinimas'!$N$20/12),(AC36-AC35)/AC36,"")</f>
        <v>-2.0145470392692405E-2</v>
      </c>
    </row>
    <row r="38" spans="3:29" x14ac:dyDescent="0.25">
      <c r="E38" t="s">
        <v>202</v>
      </c>
      <c r="F38">
        <v>0</v>
      </c>
      <c r="G38" s="62">
        <f>IF(E28="—",0,E28+1)</f>
        <v>22.063410545492442</v>
      </c>
      <c r="I38">
        <v>0</v>
      </c>
      <c r="J38" s="62">
        <f>E16+1</f>
        <v>3</v>
      </c>
      <c r="L38">
        <v>0</v>
      </c>
      <c r="M38" s="62">
        <f>E17+1</f>
        <v>23</v>
      </c>
    </row>
    <row r="39" spans="3:29" x14ac:dyDescent="0.25">
      <c r="E39" t="s">
        <v>203</v>
      </c>
      <c r="F39">
        <v>1</v>
      </c>
      <c r="G39" s="62">
        <f>IF(E28="—",0,E28+1)</f>
        <v>22.063410545492442</v>
      </c>
      <c r="I39">
        <v>1</v>
      </c>
      <c r="J39" s="62">
        <f>E16+1</f>
        <v>3</v>
      </c>
      <c r="L39">
        <v>1</v>
      </c>
      <c r="M39" s="62">
        <f>E17+1</f>
        <v>23</v>
      </c>
    </row>
    <row r="40" spans="3:29" x14ac:dyDescent="0.25">
      <c r="AC40" s="72"/>
    </row>
  </sheetData>
  <sheetProtection algorithmName="SHA-512" hashValue="02xigtPPsCtrsNYySg74KNqQwgVQKDEqXqJca8ajRrsnhKlgyJ27UgBgkuryKJ4WRfKra9dGzMKkcPlMu7mutA==" saltValue="V9qMM8wR8nzbQuqpZBWF5Q==" spinCount="100000" sheet="1" objects="1" scenarios="1" selectLockedCells="1" selectUnlockedCells="1"/>
  <mergeCells count="2">
    <mergeCell ref="J3:M3"/>
    <mergeCell ref="E28:F2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C18A5-7C44-468E-A175-97CAAE9458D1}">
  <sheetPr codeName="Sheet3"/>
  <dimension ref="A1:X62"/>
  <sheetViews>
    <sheetView workbookViewId="0">
      <selection activeCell="D40" sqref="D40"/>
    </sheetView>
  </sheetViews>
  <sheetFormatPr defaultRowHeight="15" x14ac:dyDescent="0.25"/>
  <cols>
    <col min="1" max="1" width="13.85546875" customWidth="1"/>
    <col min="2" max="2" width="13" customWidth="1"/>
    <col min="3" max="3" width="11.140625" customWidth="1"/>
    <col min="4" max="4" width="23.28515625" customWidth="1"/>
    <col min="5" max="5" width="20.140625" customWidth="1"/>
    <col min="6" max="6" width="14.5703125" customWidth="1"/>
    <col min="7" max="7" width="17.7109375" customWidth="1"/>
    <col min="8" max="9" width="19.5703125" customWidth="1"/>
    <col min="11" max="11" width="17" customWidth="1"/>
    <col min="12" max="12" width="10.42578125" bestFit="1" customWidth="1"/>
    <col min="13" max="13" width="16.85546875" customWidth="1"/>
    <col min="14" max="14" width="24.42578125" bestFit="1" customWidth="1"/>
    <col min="15" max="15" width="22.85546875" bestFit="1" customWidth="1"/>
    <col min="18" max="18" width="13.85546875" bestFit="1" customWidth="1"/>
    <col min="19" max="19" width="20.7109375" bestFit="1" customWidth="1"/>
    <col min="20" max="20" width="17.140625" bestFit="1" customWidth="1"/>
    <col min="21" max="21" width="21.140625" bestFit="1" customWidth="1"/>
    <col min="22" max="22" width="17.140625" customWidth="1"/>
    <col min="23" max="23" width="14.7109375" customWidth="1"/>
    <col min="24" max="24" width="13.140625" customWidth="1"/>
  </cols>
  <sheetData>
    <row r="1" spans="1:24" x14ac:dyDescent="0.25">
      <c r="A1" t="s">
        <v>26</v>
      </c>
      <c r="B1" t="s">
        <v>27</v>
      </c>
      <c r="C1" t="s">
        <v>6</v>
      </c>
      <c r="D1" t="s">
        <v>28</v>
      </c>
      <c r="E1" t="s">
        <v>29</v>
      </c>
      <c r="F1" t="s">
        <v>33</v>
      </c>
      <c r="G1" t="s">
        <v>25</v>
      </c>
      <c r="H1" t="s">
        <v>9</v>
      </c>
      <c r="I1" t="s">
        <v>201</v>
      </c>
      <c r="K1" s="60" t="s">
        <v>36</v>
      </c>
    </row>
    <row r="2" spans="1:24" x14ac:dyDescent="0.25">
      <c r="A2" s="58">
        <v>0.45</v>
      </c>
      <c r="B2">
        <v>12</v>
      </c>
      <c r="C2" s="58">
        <v>0.1</v>
      </c>
      <c r="D2">
        <v>150</v>
      </c>
      <c r="E2" s="58">
        <v>1</v>
      </c>
      <c r="F2">
        <v>16</v>
      </c>
      <c r="G2">
        <v>20</v>
      </c>
      <c r="H2" s="74">
        <v>5.0000000000000001E-3</v>
      </c>
      <c r="I2" s="74">
        <v>0.04</v>
      </c>
      <c r="K2" t="s">
        <v>37</v>
      </c>
      <c r="L2" t="s">
        <v>38</v>
      </c>
      <c r="M2" t="s">
        <v>39</v>
      </c>
      <c r="N2" t="s">
        <v>40</v>
      </c>
      <c r="O2" t="s">
        <v>41</v>
      </c>
      <c r="Q2" t="s">
        <v>60</v>
      </c>
      <c r="R2" t="s">
        <v>61</v>
      </c>
      <c r="S2" t="s">
        <v>62</v>
      </c>
      <c r="T2" s="63" t="s">
        <v>37</v>
      </c>
      <c r="U2" t="s">
        <v>63</v>
      </c>
      <c r="V2" t="s">
        <v>40</v>
      </c>
      <c r="W2" t="s">
        <v>41</v>
      </c>
      <c r="X2" s="69" t="s">
        <v>197</v>
      </c>
    </row>
    <row r="3" spans="1:24" x14ac:dyDescent="0.25">
      <c r="A3" s="58">
        <v>0.5</v>
      </c>
      <c r="B3">
        <v>24</v>
      </c>
      <c r="C3" s="58">
        <v>0.15</v>
      </c>
      <c r="D3">
        <v>175</v>
      </c>
      <c r="E3" s="58">
        <v>0.9</v>
      </c>
      <c r="F3">
        <v>17</v>
      </c>
      <c r="G3">
        <v>19</v>
      </c>
      <c r="K3" t="s">
        <v>42</v>
      </c>
      <c r="L3" s="61">
        <v>44473</v>
      </c>
      <c r="M3" s="61">
        <v>44682</v>
      </c>
      <c r="N3">
        <v>209</v>
      </c>
      <c r="O3" s="62">
        <v>2.0578947368421048</v>
      </c>
      <c r="Q3" t="s">
        <v>64</v>
      </c>
      <c r="R3" t="s">
        <v>65</v>
      </c>
      <c r="S3" t="s">
        <v>66</v>
      </c>
      <c r="T3" t="s">
        <v>53</v>
      </c>
      <c r="U3" t="s">
        <v>67</v>
      </c>
      <c r="V3">
        <f>SUMIF(Table19[Miestas (stotis)],Table310[[#This Row],[Miestas (stotis)]],Table19[Šildymo sezono trukmė])</f>
        <v>227</v>
      </c>
      <c r="W3" s="62">
        <f>SUMIF(Table19[Miestas (stotis)],Table310[[#This Row],[Miestas (stotis)]],Table19[Vidutinė temperatūra])</f>
        <v>2.9162995594713634</v>
      </c>
      <c r="X3" s="79">
        <f>SUMIF(Table10[Lokacija],Table310[[#This Row],[Lokacija turto vertei]],Table10[Vertės padidėjimas])</f>
        <v>0.03</v>
      </c>
    </row>
    <row r="4" spans="1:24" x14ac:dyDescent="0.25">
      <c r="A4" s="58">
        <v>0.55000000000000004</v>
      </c>
      <c r="B4">
        <v>36</v>
      </c>
      <c r="C4" s="58">
        <v>0.2</v>
      </c>
      <c r="D4">
        <v>200</v>
      </c>
      <c r="E4" s="58">
        <v>0.8</v>
      </c>
      <c r="F4">
        <v>18</v>
      </c>
      <c r="G4">
        <v>18</v>
      </c>
      <c r="K4" t="s">
        <v>43</v>
      </c>
      <c r="L4" s="61">
        <v>44461</v>
      </c>
      <c r="M4" s="61">
        <v>44683</v>
      </c>
      <c r="N4">
        <v>222</v>
      </c>
      <c r="O4" s="62">
        <v>2.745045045045043</v>
      </c>
      <c r="Q4" t="s">
        <v>68</v>
      </c>
      <c r="R4" t="s">
        <v>69</v>
      </c>
      <c r="S4" t="s">
        <v>70</v>
      </c>
      <c r="T4" t="s">
        <v>58</v>
      </c>
      <c r="U4" t="s">
        <v>67</v>
      </c>
      <c r="V4">
        <f>SUMIF(Table19[Miestas (stotis)],Table310[[#This Row],[Miestas (stotis)]],Table19[Šildymo sezono trukmė])</f>
        <v>221</v>
      </c>
      <c r="W4" s="62">
        <f>SUMIF(Table19[Miestas (stotis)],Table310[[#This Row],[Miestas (stotis)]],Table19[Vidutinė temperatūra])</f>
        <v>2.4103603603603601</v>
      </c>
      <c r="X4" s="79">
        <f>SUMIF(Table10[Lokacija],Table310[[#This Row],[Lokacija turto vertei]],Table10[Vertės padidėjimas])</f>
        <v>0.03</v>
      </c>
    </row>
    <row r="5" spans="1:24" x14ac:dyDescent="0.25">
      <c r="A5" s="58">
        <v>0.6</v>
      </c>
      <c r="B5">
        <v>48</v>
      </c>
      <c r="C5" s="58">
        <v>0.25</v>
      </c>
      <c r="D5">
        <v>225</v>
      </c>
      <c r="E5" s="58">
        <v>0.7</v>
      </c>
      <c r="F5">
        <v>19</v>
      </c>
      <c r="G5">
        <v>17</v>
      </c>
      <c r="K5" t="s">
        <v>44</v>
      </c>
      <c r="L5" s="61">
        <v>44462</v>
      </c>
      <c r="M5" s="61">
        <v>44680</v>
      </c>
      <c r="N5">
        <v>218</v>
      </c>
      <c r="O5" s="62">
        <v>1.4922018348623853</v>
      </c>
      <c r="Q5" t="s">
        <v>71</v>
      </c>
      <c r="R5" t="s">
        <v>72</v>
      </c>
      <c r="S5" t="s">
        <v>70</v>
      </c>
      <c r="T5" t="s">
        <v>58</v>
      </c>
      <c r="U5" t="s">
        <v>67</v>
      </c>
      <c r="V5">
        <f>SUMIF(Table19[Miestas (stotis)],Table310[[#This Row],[Miestas (stotis)]],Table19[Šildymo sezono trukmė])</f>
        <v>221</v>
      </c>
      <c r="W5" s="62">
        <f>SUMIF(Table19[Miestas (stotis)],Table310[[#This Row],[Miestas (stotis)]],Table19[Vidutinė temperatūra])</f>
        <v>2.4103603603603601</v>
      </c>
      <c r="X5" s="79">
        <f>SUMIF(Table10[Lokacija],Table310[[#This Row],[Lokacija turto vertei]],Table10[Vertės padidėjimas])</f>
        <v>0.03</v>
      </c>
    </row>
    <row r="6" spans="1:24" x14ac:dyDescent="0.25">
      <c r="A6" s="58">
        <v>0.65</v>
      </c>
      <c r="B6">
        <v>60</v>
      </c>
      <c r="C6" s="58">
        <v>0.3</v>
      </c>
      <c r="D6">
        <v>250</v>
      </c>
      <c r="E6" s="58">
        <v>0.6</v>
      </c>
      <c r="F6">
        <v>20</v>
      </c>
      <c r="G6">
        <v>16</v>
      </c>
      <c r="K6" t="s">
        <v>45</v>
      </c>
      <c r="L6" s="61">
        <v>44466</v>
      </c>
      <c r="M6" s="61">
        <v>44676</v>
      </c>
      <c r="N6">
        <v>210</v>
      </c>
      <c r="O6" s="62">
        <v>2.6433333333333318</v>
      </c>
      <c r="Q6" t="s">
        <v>73</v>
      </c>
      <c r="R6" t="s">
        <v>74</v>
      </c>
      <c r="S6" t="s">
        <v>75</v>
      </c>
      <c r="T6" t="s">
        <v>57</v>
      </c>
      <c r="U6" t="s">
        <v>67</v>
      </c>
      <c r="V6">
        <f>SUMIF(Table19[Miestas (stotis)],Table310[[#This Row],[Miestas (stotis)]],Table19[Šildymo sezono trukmė])</f>
        <v>212</v>
      </c>
      <c r="W6" s="62">
        <f>SUMIF(Table19[Miestas (stotis)],Table310[[#This Row],[Miestas (stotis)]],Table19[Vidutinė temperatūra])</f>
        <v>2.0868544600938961</v>
      </c>
      <c r="X6" s="79">
        <f>SUMIF(Table10[Lokacija],Table310[[#This Row],[Lokacija turto vertei]],Table10[Vertės padidėjimas])</f>
        <v>0.03</v>
      </c>
    </row>
    <row r="7" spans="1:24" x14ac:dyDescent="0.25">
      <c r="A7" s="58">
        <v>0.7</v>
      </c>
      <c r="D7">
        <v>275</v>
      </c>
      <c r="E7" s="58">
        <v>0.5</v>
      </c>
      <c r="F7">
        <v>21</v>
      </c>
      <c r="G7">
        <v>15</v>
      </c>
      <c r="K7" t="s">
        <v>46</v>
      </c>
      <c r="L7" s="61">
        <v>44488</v>
      </c>
      <c r="M7" s="61">
        <v>44685</v>
      </c>
      <c r="N7">
        <v>197</v>
      </c>
      <c r="O7" s="62">
        <v>2.6419191919191913</v>
      </c>
      <c r="Q7" t="s">
        <v>76</v>
      </c>
      <c r="R7" t="s">
        <v>77</v>
      </c>
      <c r="S7" t="s">
        <v>78</v>
      </c>
      <c r="T7" t="s">
        <v>45</v>
      </c>
      <c r="U7" t="s">
        <v>67</v>
      </c>
      <c r="V7">
        <f>SUMIF(Table19[Miestas (stotis)],Table310[[#This Row],[Miestas (stotis)]],Table19[Šildymo sezono trukmė])</f>
        <v>210</v>
      </c>
      <c r="W7" s="62">
        <f>SUMIF(Table19[Miestas (stotis)],Table310[[#This Row],[Miestas (stotis)]],Table19[Vidutinė temperatūra])</f>
        <v>2.6433333333333318</v>
      </c>
      <c r="X7" s="79">
        <f>SUMIF(Table10[Lokacija],Table310[[#This Row],[Lokacija turto vertei]],Table10[Vertės padidėjimas])</f>
        <v>0.03</v>
      </c>
    </row>
    <row r="8" spans="1:24" x14ac:dyDescent="0.25">
      <c r="A8" s="58">
        <v>0.75</v>
      </c>
      <c r="D8">
        <v>300</v>
      </c>
      <c r="E8" s="58">
        <v>0.4</v>
      </c>
      <c r="F8">
        <v>22</v>
      </c>
      <c r="G8">
        <v>14</v>
      </c>
      <c r="K8" t="s">
        <v>47</v>
      </c>
      <c r="L8" s="61">
        <v>44481</v>
      </c>
      <c r="M8" s="61">
        <v>44686</v>
      </c>
      <c r="N8">
        <v>205</v>
      </c>
      <c r="O8" s="62">
        <v>3.63951219512195</v>
      </c>
      <c r="Q8" t="s">
        <v>79</v>
      </c>
      <c r="R8" t="s">
        <v>80</v>
      </c>
      <c r="S8" t="s">
        <v>81</v>
      </c>
      <c r="T8" t="s">
        <v>42</v>
      </c>
      <c r="U8" t="s">
        <v>67</v>
      </c>
      <c r="V8">
        <f>SUMIF(Table19[Miestas (stotis)],Table310[[#This Row],[Miestas (stotis)]],Table19[Šildymo sezono trukmė])</f>
        <v>209</v>
      </c>
      <c r="W8" s="62">
        <f>SUMIF(Table19[Miestas (stotis)],Table310[[#This Row],[Miestas (stotis)]],Table19[Vidutinė temperatūra])</f>
        <v>2.0578947368421048</v>
      </c>
      <c r="X8" s="79">
        <f>SUMIF(Table10[Lokacija],Table310[[#This Row],[Lokacija turto vertei]],Table10[Vertės padidėjimas])</f>
        <v>0.03</v>
      </c>
    </row>
    <row r="9" spans="1:24" x14ac:dyDescent="0.25">
      <c r="A9" s="58">
        <v>0.8</v>
      </c>
      <c r="D9">
        <v>325</v>
      </c>
      <c r="E9" s="58">
        <v>0.3</v>
      </c>
      <c r="F9">
        <v>23</v>
      </c>
      <c r="G9">
        <v>13</v>
      </c>
      <c r="K9" t="s">
        <v>48</v>
      </c>
      <c r="L9" s="61">
        <v>44476</v>
      </c>
      <c r="M9" s="61">
        <v>44678</v>
      </c>
      <c r="N9">
        <v>202</v>
      </c>
      <c r="O9" s="62">
        <v>1.7985148514851481</v>
      </c>
      <c r="Q9" t="s">
        <v>82</v>
      </c>
      <c r="R9" t="s">
        <v>83</v>
      </c>
      <c r="S9" t="s">
        <v>70</v>
      </c>
      <c r="T9" t="s">
        <v>49</v>
      </c>
      <c r="U9" t="s">
        <v>67</v>
      </c>
      <c r="V9">
        <f>SUMIF(Table19[Miestas (stotis)],Table310[[#This Row],[Miestas (stotis)]],Table19[Šildymo sezono trukmė])</f>
        <v>228</v>
      </c>
      <c r="W9" s="62">
        <f>SUMIF(Table19[Miestas (stotis)],Table310[[#This Row],[Miestas (stotis)]],Table19[Vidutinė temperatūra])</f>
        <v>3.007894736842105</v>
      </c>
      <c r="X9" s="79">
        <f>SUMIF(Table10[Lokacija],Table310[[#This Row],[Lokacija turto vertei]],Table10[Vertės padidėjimas])</f>
        <v>0.03</v>
      </c>
    </row>
    <row r="10" spans="1:24" x14ac:dyDescent="0.25">
      <c r="D10">
        <v>350</v>
      </c>
      <c r="E10" s="58">
        <v>0.2</v>
      </c>
      <c r="F10">
        <v>24</v>
      </c>
      <c r="G10">
        <v>12</v>
      </c>
      <c r="K10" t="s">
        <v>49</v>
      </c>
      <c r="L10" s="61">
        <v>44463</v>
      </c>
      <c r="M10" s="61">
        <v>44691</v>
      </c>
      <c r="N10">
        <v>228</v>
      </c>
      <c r="O10" s="62">
        <v>3.007894736842105</v>
      </c>
      <c r="Q10" t="s">
        <v>84</v>
      </c>
      <c r="R10" t="s">
        <v>85</v>
      </c>
      <c r="S10" t="s">
        <v>86</v>
      </c>
      <c r="T10" t="s">
        <v>59</v>
      </c>
      <c r="U10" t="s">
        <v>67</v>
      </c>
      <c r="V10">
        <f>SUMIF(Table19[Miestas (stotis)],Table310[[#This Row],[Miestas (stotis)]],Table19[Šildymo sezono trukmė])</f>
        <v>200</v>
      </c>
      <c r="W10" s="62">
        <f>SUMIF(Table19[Miestas (stotis)],Table310[[#This Row],[Miestas (stotis)]],Table19[Vidutinė temperatūra])</f>
        <v>1.4904999999999986</v>
      </c>
      <c r="X10" s="79">
        <f>SUMIF(Table10[Lokacija],Table310[[#This Row],[Lokacija turto vertei]],Table10[Vertės padidėjimas])</f>
        <v>0.03</v>
      </c>
    </row>
    <row r="11" spans="1:24" x14ac:dyDescent="0.25">
      <c r="D11">
        <v>375</v>
      </c>
      <c r="E11" s="58">
        <v>0.1</v>
      </c>
      <c r="G11">
        <v>11</v>
      </c>
      <c r="K11" t="s">
        <v>50</v>
      </c>
      <c r="L11" s="61">
        <v>44482</v>
      </c>
      <c r="M11" s="61">
        <v>44683</v>
      </c>
      <c r="N11">
        <v>201</v>
      </c>
      <c r="O11" s="62">
        <v>3.8014999999999968</v>
      </c>
      <c r="Q11" t="s">
        <v>87</v>
      </c>
      <c r="R11" t="s">
        <v>88</v>
      </c>
      <c r="S11" t="s">
        <v>75</v>
      </c>
      <c r="T11" t="s">
        <v>44</v>
      </c>
      <c r="U11" t="s">
        <v>67</v>
      </c>
      <c r="V11">
        <f>SUMIF(Table19[Miestas (stotis)],Table310[[#This Row],[Miestas (stotis)]],Table19[Šildymo sezono trukmė])</f>
        <v>218</v>
      </c>
      <c r="W11" s="62">
        <f>SUMIF(Table19[Miestas (stotis)],Table310[[#This Row],[Miestas (stotis)]],Table19[Vidutinė temperatūra])</f>
        <v>1.4922018348623853</v>
      </c>
      <c r="X11" s="79">
        <f>SUMIF(Table10[Lokacija],Table310[[#This Row],[Lokacija turto vertei]],Table10[Vertės padidėjimas])</f>
        <v>0.03</v>
      </c>
    </row>
    <row r="12" spans="1:24" x14ac:dyDescent="0.25">
      <c r="D12">
        <v>400</v>
      </c>
      <c r="E12" s="58">
        <v>0</v>
      </c>
      <c r="G12">
        <v>10</v>
      </c>
      <c r="K12" t="s">
        <v>51</v>
      </c>
      <c r="L12" s="61">
        <v>44466</v>
      </c>
      <c r="M12" s="61">
        <v>44686</v>
      </c>
      <c r="N12">
        <v>220</v>
      </c>
      <c r="O12" s="62">
        <v>2.0545454545454556</v>
      </c>
      <c r="Q12" t="s">
        <v>89</v>
      </c>
      <c r="R12" t="s">
        <v>90</v>
      </c>
      <c r="S12" t="s">
        <v>78</v>
      </c>
      <c r="T12" t="s">
        <v>43</v>
      </c>
      <c r="U12" t="s">
        <v>67</v>
      </c>
      <c r="V12">
        <f>SUMIF(Table19[Miestas (stotis)],Table310[[#This Row],[Miestas (stotis)]],Table19[Šildymo sezono trukmė])</f>
        <v>222</v>
      </c>
      <c r="W12" s="62">
        <f>SUMIF(Table19[Miestas (stotis)],Table310[[#This Row],[Miestas (stotis)]],Table19[Vidutinė temperatūra])</f>
        <v>2.745045045045043</v>
      </c>
      <c r="X12" s="79">
        <f>SUMIF(Table10[Lokacija],Table310[[#This Row],[Lokacija turto vertei]],Table10[Vertės padidėjimas])</f>
        <v>0.03</v>
      </c>
    </row>
    <row r="13" spans="1:24" x14ac:dyDescent="0.25">
      <c r="D13">
        <v>425</v>
      </c>
      <c r="K13" t="s">
        <v>52</v>
      </c>
      <c r="L13" s="61">
        <v>44462</v>
      </c>
      <c r="M13" s="61">
        <v>44683</v>
      </c>
      <c r="N13">
        <v>221</v>
      </c>
      <c r="O13" s="62">
        <v>2.6081081081081092</v>
      </c>
      <c r="Q13" t="s">
        <v>91</v>
      </c>
      <c r="R13" t="s">
        <v>92</v>
      </c>
      <c r="S13" t="s">
        <v>66</v>
      </c>
      <c r="T13" t="s">
        <v>53</v>
      </c>
      <c r="U13" t="s">
        <v>67</v>
      </c>
      <c r="V13">
        <f>SUMIF(Table19[Miestas (stotis)],Table310[[#This Row],[Miestas (stotis)]],Table19[Šildymo sezono trukmė])</f>
        <v>227</v>
      </c>
      <c r="W13" s="62">
        <f>SUMIF(Table19[Miestas (stotis)],Table310[[#This Row],[Miestas (stotis)]],Table19[Vidutinė temperatūra])</f>
        <v>2.9162995594713634</v>
      </c>
      <c r="X13" s="79">
        <f>SUMIF(Table10[Lokacija],Table310[[#This Row],[Lokacija turto vertei]],Table10[Vertės padidėjimas])</f>
        <v>0.03</v>
      </c>
    </row>
    <row r="14" spans="1:24" x14ac:dyDescent="0.25">
      <c r="D14">
        <v>450</v>
      </c>
      <c r="K14" t="s">
        <v>53</v>
      </c>
      <c r="L14" s="61">
        <v>44463</v>
      </c>
      <c r="M14" s="61">
        <v>44690</v>
      </c>
      <c r="N14">
        <v>227</v>
      </c>
      <c r="O14" s="62">
        <v>2.9162995594713634</v>
      </c>
      <c r="Q14" t="s">
        <v>93</v>
      </c>
      <c r="R14" t="s">
        <v>94</v>
      </c>
      <c r="S14" t="s">
        <v>95</v>
      </c>
      <c r="T14" t="s">
        <v>52</v>
      </c>
      <c r="U14" t="s">
        <v>67</v>
      </c>
      <c r="V14">
        <f>SUMIF(Table19[Miestas (stotis)],Table310[[#This Row],[Miestas (stotis)]],Table19[Šildymo sezono trukmė])</f>
        <v>221</v>
      </c>
      <c r="W14" s="62">
        <f>SUMIF(Table19[Miestas (stotis)],Table310[[#This Row],[Miestas (stotis)]],Table19[Vidutinė temperatūra])</f>
        <v>2.6081081081081092</v>
      </c>
      <c r="X14" s="79">
        <f>SUMIF(Table10[Lokacija],Table310[[#This Row],[Lokacija turto vertei]],Table10[Vertės padidėjimas])</f>
        <v>0.03</v>
      </c>
    </row>
    <row r="15" spans="1:24" x14ac:dyDescent="0.25">
      <c r="D15">
        <v>475</v>
      </c>
      <c r="K15" t="s">
        <v>54</v>
      </c>
      <c r="L15" s="61">
        <v>44479</v>
      </c>
      <c r="M15" s="61">
        <v>44684</v>
      </c>
      <c r="N15">
        <v>205</v>
      </c>
      <c r="O15" s="62">
        <v>3.0224390243902435</v>
      </c>
      <c r="Q15" t="s">
        <v>96</v>
      </c>
      <c r="R15" t="s">
        <v>97</v>
      </c>
      <c r="S15" t="s">
        <v>78</v>
      </c>
      <c r="T15" t="s">
        <v>45</v>
      </c>
      <c r="U15" t="s">
        <v>67</v>
      </c>
      <c r="V15">
        <f>SUMIF(Table19[Miestas (stotis)],Table310[[#This Row],[Miestas (stotis)]],Table19[Šildymo sezono trukmė])</f>
        <v>210</v>
      </c>
      <c r="W15" s="62">
        <f>SUMIF(Table19[Miestas (stotis)],Table310[[#This Row],[Miestas (stotis)]],Table19[Vidutinė temperatūra])</f>
        <v>2.6433333333333318</v>
      </c>
      <c r="X15" s="79">
        <f>SUMIF(Table10[Lokacija],Table310[[#This Row],[Lokacija turto vertei]],Table10[Vertės padidėjimas])</f>
        <v>0.03</v>
      </c>
    </row>
    <row r="16" spans="1:24" x14ac:dyDescent="0.25">
      <c r="D16">
        <v>500</v>
      </c>
      <c r="K16" t="s">
        <v>55</v>
      </c>
      <c r="L16" s="61">
        <v>44480</v>
      </c>
      <c r="M16" s="61">
        <v>44684</v>
      </c>
      <c r="N16">
        <v>204</v>
      </c>
      <c r="O16" s="62">
        <v>2.1098039215686284</v>
      </c>
      <c r="Q16" t="s">
        <v>98</v>
      </c>
      <c r="R16" t="s">
        <v>99</v>
      </c>
      <c r="S16" t="s">
        <v>100</v>
      </c>
      <c r="T16" t="s">
        <v>46</v>
      </c>
      <c r="U16" t="s">
        <v>67</v>
      </c>
      <c r="V16">
        <f>SUMIF(Table19[Miestas (stotis)],Table310[[#This Row],[Miestas (stotis)]],Table19[Šildymo sezono trukmė])</f>
        <v>197</v>
      </c>
      <c r="W16" s="62">
        <f>SUMIF(Table19[Miestas (stotis)],Table310[[#This Row],[Miestas (stotis)]],Table19[Vidutinė temperatūra])</f>
        <v>2.6419191919191913</v>
      </c>
      <c r="X16" s="79">
        <f>SUMIF(Table10[Lokacija],Table310[[#This Row],[Lokacija turto vertei]],Table10[Vertės padidėjimas])</f>
        <v>0.03</v>
      </c>
    </row>
    <row r="17" spans="4:24" x14ac:dyDescent="0.25">
      <c r="D17">
        <v>525</v>
      </c>
      <c r="K17" t="s">
        <v>56</v>
      </c>
      <c r="L17" s="61">
        <v>44461</v>
      </c>
      <c r="M17" s="61">
        <v>44683</v>
      </c>
      <c r="N17">
        <v>222</v>
      </c>
      <c r="O17" s="62">
        <v>2.6243243243243239</v>
      </c>
      <c r="Q17" t="s">
        <v>101</v>
      </c>
      <c r="R17" t="s">
        <v>102</v>
      </c>
      <c r="S17" t="s">
        <v>78</v>
      </c>
      <c r="T17" t="s">
        <v>45</v>
      </c>
      <c r="U17" t="s">
        <v>103</v>
      </c>
      <c r="V17">
        <f>SUMIF(Table19[Miestas (stotis)],Table310[[#This Row],[Miestas (stotis)]],Table19[Šildymo sezono trukmė])</f>
        <v>210</v>
      </c>
      <c r="W17" s="62">
        <f>SUMIF(Table19[Miestas (stotis)],Table310[[#This Row],[Miestas (stotis)]],Table19[Vidutinė temperatūra])</f>
        <v>2.6433333333333318</v>
      </c>
      <c r="X17" s="79">
        <f>SUMIF(Table10[Lokacija],Table310[[#This Row],[Lokacija turto vertei]],Table10[Vertės padidėjimas])</f>
        <v>7.4999999999999997E-2</v>
      </c>
    </row>
    <row r="18" spans="4:24" x14ac:dyDescent="0.25">
      <c r="D18">
        <v>550</v>
      </c>
      <c r="K18" t="s">
        <v>57</v>
      </c>
      <c r="L18" s="61">
        <v>44461</v>
      </c>
      <c r="M18" s="61">
        <v>44673</v>
      </c>
      <c r="N18">
        <v>212</v>
      </c>
      <c r="O18" s="62">
        <v>2.0868544600938961</v>
      </c>
      <c r="Q18" t="s">
        <v>104</v>
      </c>
      <c r="R18" t="s">
        <v>105</v>
      </c>
      <c r="S18" t="s">
        <v>78</v>
      </c>
      <c r="T18" t="s">
        <v>45</v>
      </c>
      <c r="U18" t="s">
        <v>67</v>
      </c>
      <c r="V18">
        <f>SUMIF(Table19[Miestas (stotis)],Table310[[#This Row],[Miestas (stotis)]],Table19[Šildymo sezono trukmė])</f>
        <v>210</v>
      </c>
      <c r="W18" s="62">
        <f>SUMIF(Table19[Miestas (stotis)],Table310[[#This Row],[Miestas (stotis)]],Table19[Vidutinė temperatūra])</f>
        <v>2.6433333333333318</v>
      </c>
      <c r="X18" s="79">
        <f>SUMIF(Table10[Lokacija],Table310[[#This Row],[Lokacija turto vertei]],Table10[Vertės padidėjimas])</f>
        <v>0.03</v>
      </c>
    </row>
    <row r="19" spans="4:24" x14ac:dyDescent="0.25">
      <c r="D19">
        <v>575</v>
      </c>
      <c r="K19" t="s">
        <v>58</v>
      </c>
      <c r="L19" s="61">
        <v>44462</v>
      </c>
      <c r="M19" s="61">
        <v>44683</v>
      </c>
      <c r="N19">
        <v>221</v>
      </c>
      <c r="O19" s="62">
        <v>2.4103603603603601</v>
      </c>
      <c r="Q19" t="s">
        <v>106</v>
      </c>
      <c r="R19" t="s">
        <v>107</v>
      </c>
      <c r="S19" t="s">
        <v>100</v>
      </c>
      <c r="T19" t="s">
        <v>46</v>
      </c>
      <c r="U19" t="s">
        <v>67</v>
      </c>
      <c r="V19">
        <f>SUMIF(Table19[Miestas (stotis)],Table310[[#This Row],[Miestas (stotis)]],Table19[Šildymo sezono trukmė])</f>
        <v>197</v>
      </c>
      <c r="W19" s="62">
        <f>SUMIF(Table19[Miestas (stotis)],Table310[[#This Row],[Miestas (stotis)]],Table19[Vidutinė temperatūra])</f>
        <v>2.6419191919191913</v>
      </c>
      <c r="X19" s="79">
        <f>SUMIF(Table10[Lokacija],Table310[[#This Row],[Lokacija turto vertei]],Table10[Vertės padidėjimas])</f>
        <v>0.03</v>
      </c>
    </row>
    <row r="20" spans="4:24" x14ac:dyDescent="0.25">
      <c r="D20">
        <v>600</v>
      </c>
      <c r="K20" t="s">
        <v>59</v>
      </c>
      <c r="L20" s="61">
        <v>44476</v>
      </c>
      <c r="M20" s="61">
        <v>44676</v>
      </c>
      <c r="N20">
        <v>200</v>
      </c>
      <c r="O20" s="62">
        <v>1.4904999999999986</v>
      </c>
      <c r="Q20" t="s">
        <v>108</v>
      </c>
      <c r="R20" t="s">
        <v>109</v>
      </c>
      <c r="S20" t="s">
        <v>66</v>
      </c>
      <c r="T20" t="s">
        <v>53</v>
      </c>
      <c r="U20" t="s">
        <v>67</v>
      </c>
      <c r="V20">
        <f>SUMIF(Table19[Miestas (stotis)],Table310[[#This Row],[Miestas (stotis)]],Table19[Šildymo sezono trukmė])</f>
        <v>227</v>
      </c>
      <c r="W20" s="62">
        <f>SUMIF(Table19[Miestas (stotis)],Table310[[#This Row],[Miestas (stotis)]],Table19[Vidutinė temperatūra])</f>
        <v>2.9162995594713634</v>
      </c>
      <c r="X20" s="79">
        <f>SUMIF(Table10[Lokacija],Table310[[#This Row],[Lokacija turto vertei]],Table10[Vertės padidėjimas])</f>
        <v>0.03</v>
      </c>
    </row>
    <row r="21" spans="4:24" x14ac:dyDescent="0.25">
      <c r="D21">
        <v>625</v>
      </c>
      <c r="Q21" t="s">
        <v>110</v>
      </c>
      <c r="R21" t="s">
        <v>111</v>
      </c>
      <c r="S21" t="s">
        <v>78</v>
      </c>
      <c r="T21" t="s">
        <v>43</v>
      </c>
      <c r="U21" t="s">
        <v>67</v>
      </c>
      <c r="V21">
        <f>SUMIF(Table19[Miestas (stotis)],Table310[[#This Row],[Miestas (stotis)]],Table19[Šildymo sezono trukmė])</f>
        <v>222</v>
      </c>
      <c r="W21" s="62">
        <f>SUMIF(Table19[Miestas (stotis)],Table310[[#This Row],[Miestas (stotis)]],Table19[Vidutinė temperatūra])</f>
        <v>2.745045045045043</v>
      </c>
      <c r="X21" s="79">
        <f>SUMIF(Table10[Lokacija],Table310[[#This Row],[Lokacija turto vertei]],Table10[Vertės padidėjimas])</f>
        <v>0.03</v>
      </c>
    </row>
    <row r="22" spans="4:24" x14ac:dyDescent="0.25">
      <c r="D22">
        <v>650</v>
      </c>
      <c r="Q22" t="s">
        <v>112</v>
      </c>
      <c r="R22" t="s">
        <v>113</v>
      </c>
      <c r="S22" t="s">
        <v>114</v>
      </c>
      <c r="T22" t="s">
        <v>47</v>
      </c>
      <c r="U22" t="s">
        <v>115</v>
      </c>
      <c r="V22">
        <f>SUMIF(Table19[Miestas (stotis)],Table310[[#This Row],[Miestas (stotis)]],Table19[Šildymo sezono trukmė])</f>
        <v>205</v>
      </c>
      <c r="W22" s="62">
        <f>SUMIF(Table19[Miestas (stotis)],Table310[[#This Row],[Miestas (stotis)]],Table19[Vidutinė temperatūra])</f>
        <v>3.63951219512195</v>
      </c>
      <c r="X22" s="79">
        <f>SUMIF(Table10[Lokacija],Table310[[#This Row],[Lokacija turto vertei]],Table10[Vertės padidėjimas])</f>
        <v>9.7500000000000003E-2</v>
      </c>
    </row>
    <row r="23" spans="4:24" x14ac:dyDescent="0.25">
      <c r="D23">
        <v>675</v>
      </c>
      <c r="M23" s="60" t="s">
        <v>196</v>
      </c>
      <c r="O23" s="72">
        <v>0.15</v>
      </c>
      <c r="Q23" t="s">
        <v>116</v>
      </c>
      <c r="R23" t="s">
        <v>117</v>
      </c>
      <c r="S23" t="s">
        <v>114</v>
      </c>
      <c r="T23" t="s">
        <v>47</v>
      </c>
      <c r="U23" t="s">
        <v>67</v>
      </c>
      <c r="V23">
        <f>SUMIF(Table19[Miestas (stotis)],Table310[[#This Row],[Miestas (stotis)]],Table19[Šildymo sezono trukmė])</f>
        <v>205</v>
      </c>
      <c r="W23" s="62">
        <f>SUMIF(Table19[Miestas (stotis)],Table310[[#This Row],[Miestas (stotis)]],Table19[Vidutinė temperatūra])</f>
        <v>3.63951219512195</v>
      </c>
      <c r="X23" s="79">
        <f>SUMIF(Table10[Lokacija],Table310[[#This Row],[Lokacija turto vertei]],Table10[Vertės padidėjimas])</f>
        <v>0.03</v>
      </c>
    </row>
    <row r="24" spans="4:24" x14ac:dyDescent="0.25">
      <c r="D24">
        <v>700</v>
      </c>
      <c r="M24" s="67" t="s">
        <v>195</v>
      </c>
      <c r="N24" s="68" t="s">
        <v>198</v>
      </c>
      <c r="O24" s="69" t="s">
        <v>197</v>
      </c>
      <c r="Q24" t="s">
        <v>118</v>
      </c>
      <c r="R24" t="s">
        <v>119</v>
      </c>
      <c r="S24" t="s">
        <v>114</v>
      </c>
      <c r="T24" t="s">
        <v>47</v>
      </c>
      <c r="U24" t="s">
        <v>67</v>
      </c>
      <c r="V24">
        <f>SUMIF(Table19[Miestas (stotis)],Table310[[#This Row],[Miestas (stotis)]],Table19[Šildymo sezono trukmė])</f>
        <v>205</v>
      </c>
      <c r="W24" s="62">
        <f>SUMIF(Table19[Miestas (stotis)],Table310[[#This Row],[Miestas (stotis)]],Table19[Vidutinė temperatūra])</f>
        <v>3.63951219512195</v>
      </c>
      <c r="X24" s="79">
        <f>SUMIF(Table10[Lokacija],Table310[[#This Row],[Lokacija turto vertei]],Table10[Vertės padidėjimas])</f>
        <v>0.03</v>
      </c>
    </row>
    <row r="25" spans="4:24" x14ac:dyDescent="0.25">
      <c r="D25">
        <v>725</v>
      </c>
      <c r="M25" s="66" t="s">
        <v>18</v>
      </c>
      <c r="N25" s="65">
        <v>1</v>
      </c>
      <c r="O25" s="73">
        <f>Table10[[#This Row],[vietovės pataisa]]*$O$23</f>
        <v>0.15</v>
      </c>
      <c r="Q25" t="s">
        <v>120</v>
      </c>
      <c r="R25" t="s">
        <v>121</v>
      </c>
      <c r="S25" t="s">
        <v>81</v>
      </c>
      <c r="T25" t="s">
        <v>51</v>
      </c>
      <c r="U25" t="s">
        <v>67</v>
      </c>
      <c r="V25">
        <f>SUMIF(Table19[Miestas (stotis)],Table310[[#This Row],[Miestas (stotis)]],Table19[Šildymo sezono trukmė])</f>
        <v>220</v>
      </c>
      <c r="W25" s="62">
        <f>SUMIF(Table19[Miestas (stotis)],Table310[[#This Row],[Miestas (stotis)]],Table19[Vidutinė temperatūra])</f>
        <v>2.0545454545454556</v>
      </c>
      <c r="X25" s="79">
        <f>SUMIF(Table10[Lokacija],Table310[[#This Row],[Lokacija turto vertei]],Table10[Vertės padidėjimas])</f>
        <v>0.03</v>
      </c>
    </row>
    <row r="26" spans="4:24" x14ac:dyDescent="0.25">
      <c r="D26">
        <v>750</v>
      </c>
      <c r="M26" s="66" t="s">
        <v>103</v>
      </c>
      <c r="N26" s="65">
        <v>0.5</v>
      </c>
      <c r="O26" s="73">
        <f>Table10[[#This Row],[vietovės pataisa]]*$O$23</f>
        <v>7.4999999999999997E-2</v>
      </c>
      <c r="Q26" t="s">
        <v>122</v>
      </c>
      <c r="R26" t="s">
        <v>123</v>
      </c>
      <c r="S26" t="s">
        <v>70</v>
      </c>
      <c r="T26" t="s">
        <v>49</v>
      </c>
      <c r="U26" t="s">
        <v>67</v>
      </c>
      <c r="V26">
        <f>SUMIF(Table19[Miestas (stotis)],Table310[[#This Row],[Miestas (stotis)]],Table19[Šildymo sezono trukmė])</f>
        <v>228</v>
      </c>
      <c r="W26" s="62">
        <f>SUMIF(Table19[Miestas (stotis)],Table310[[#This Row],[Miestas (stotis)]],Table19[Vidutinė temperatūra])</f>
        <v>3.007894736842105</v>
      </c>
      <c r="X26" s="79">
        <f>SUMIF(Table10[Lokacija],Table310[[#This Row],[Lokacija turto vertei]],Table10[Vertės padidėjimas])</f>
        <v>0.03</v>
      </c>
    </row>
    <row r="27" spans="4:24" x14ac:dyDescent="0.25">
      <c r="D27">
        <v>775</v>
      </c>
      <c r="M27" s="66" t="s">
        <v>115</v>
      </c>
      <c r="N27" s="65">
        <v>0.65</v>
      </c>
      <c r="O27" s="73">
        <f>Table10[[#This Row],[vietovės pataisa]]*$O$23</f>
        <v>9.7500000000000003E-2</v>
      </c>
      <c r="Q27" t="s">
        <v>124</v>
      </c>
      <c r="R27" t="s">
        <v>100</v>
      </c>
      <c r="S27" t="s">
        <v>100</v>
      </c>
      <c r="T27" t="s">
        <v>46</v>
      </c>
      <c r="U27" t="s">
        <v>67</v>
      </c>
      <c r="V27">
        <f>SUMIF(Table19[Miestas (stotis)],Table310[[#This Row],[Miestas (stotis)]],Table19[Šildymo sezono trukmė])</f>
        <v>197</v>
      </c>
      <c r="W27" s="62">
        <f>SUMIF(Table19[Miestas (stotis)],Table310[[#This Row],[Miestas (stotis)]],Table19[Vidutinė temperatūra])</f>
        <v>2.6419191919191913</v>
      </c>
      <c r="X27" s="79">
        <f>SUMIF(Table10[Lokacija],Table310[[#This Row],[Lokacija turto vertei]],Table10[Vertės padidėjimas])</f>
        <v>0.03</v>
      </c>
    </row>
    <row r="28" spans="4:24" x14ac:dyDescent="0.25">
      <c r="D28">
        <v>800</v>
      </c>
      <c r="M28" s="70" t="s">
        <v>67</v>
      </c>
      <c r="N28" s="71">
        <v>0.2</v>
      </c>
      <c r="O28" s="73">
        <f>Table10[[#This Row],[vietovės pataisa]]*$O$23</f>
        <v>0.03</v>
      </c>
      <c r="Q28" t="s">
        <v>125</v>
      </c>
      <c r="R28" t="s">
        <v>126</v>
      </c>
      <c r="S28" t="s">
        <v>127</v>
      </c>
      <c r="T28" t="s">
        <v>55</v>
      </c>
      <c r="U28" t="s">
        <v>67</v>
      </c>
      <c r="V28">
        <f>SUMIF(Table19[Miestas (stotis)],Table310[[#This Row],[Miestas (stotis)]],Table19[Šildymo sezono trukmė])</f>
        <v>204</v>
      </c>
      <c r="W28" s="62">
        <f>SUMIF(Table19[Miestas (stotis)],Table310[[#This Row],[Miestas (stotis)]],Table19[Vidutinė temperatūra])</f>
        <v>2.1098039215686284</v>
      </c>
      <c r="X28" s="79">
        <f>SUMIF(Table10[Lokacija],Table310[[#This Row],[Lokacija turto vertei]],Table10[Vertės padidėjimas])</f>
        <v>0.03</v>
      </c>
    </row>
    <row r="29" spans="4:24" x14ac:dyDescent="0.25">
      <c r="D29">
        <v>825</v>
      </c>
      <c r="Q29" t="s">
        <v>128</v>
      </c>
      <c r="R29" t="s">
        <v>129</v>
      </c>
      <c r="S29" t="s">
        <v>75</v>
      </c>
      <c r="T29" t="s">
        <v>57</v>
      </c>
      <c r="U29" t="s">
        <v>67</v>
      </c>
      <c r="V29">
        <f>SUMIF(Table19[Miestas (stotis)],Table310[[#This Row],[Miestas (stotis)]],Table19[Šildymo sezono trukmė])</f>
        <v>212</v>
      </c>
      <c r="W29" s="62">
        <f>SUMIF(Table19[Miestas (stotis)],Table310[[#This Row],[Miestas (stotis)]],Table19[Vidutinė temperatūra])</f>
        <v>2.0868544600938961</v>
      </c>
      <c r="X29" s="79">
        <f>SUMIF(Table10[Lokacija],Table310[[#This Row],[Lokacija turto vertei]],Table10[Vertės padidėjimas])</f>
        <v>0.03</v>
      </c>
    </row>
    <row r="30" spans="4:24" x14ac:dyDescent="0.25">
      <c r="D30">
        <v>850</v>
      </c>
      <c r="N30" s="60" t="s">
        <v>207</v>
      </c>
      <c r="Q30" t="s">
        <v>130</v>
      </c>
      <c r="R30" t="s">
        <v>131</v>
      </c>
      <c r="S30" t="s">
        <v>114</v>
      </c>
      <c r="T30" t="s">
        <v>50</v>
      </c>
      <c r="U30" t="s">
        <v>67</v>
      </c>
      <c r="V30">
        <f>SUMIF(Table19[Miestas (stotis)],Table310[[#This Row],[Miestas (stotis)]],Table19[Šildymo sezono trukmė])</f>
        <v>201</v>
      </c>
      <c r="W30" s="62">
        <f>SUMIF(Table19[Miestas (stotis)],Table310[[#This Row],[Miestas (stotis)]],Table19[Vidutinė temperatūra])</f>
        <v>3.8014999999999968</v>
      </c>
      <c r="X30" s="79">
        <f>SUMIF(Table10[Lokacija],Table310[[#This Row],[Lokacija turto vertei]],Table10[Vertės padidėjimas])</f>
        <v>0.03</v>
      </c>
    </row>
    <row r="31" spans="4:24" x14ac:dyDescent="0.25">
      <c r="D31">
        <v>875</v>
      </c>
      <c r="N31" s="60" t="s">
        <v>206</v>
      </c>
      <c r="O31" t="str">
        <f>'Atsipirkimo vertinimas'!$F$8</f>
        <v>Utenos r.</v>
      </c>
      <c r="Q31" t="s">
        <v>132</v>
      </c>
      <c r="R31" t="s">
        <v>133</v>
      </c>
      <c r="S31" t="s">
        <v>95</v>
      </c>
      <c r="T31" t="s">
        <v>54</v>
      </c>
      <c r="U31" t="s">
        <v>67</v>
      </c>
      <c r="V31">
        <f>SUMIF(Table19[Miestas (stotis)],Table310[[#This Row],[Miestas (stotis)]],Table19[Šildymo sezono trukmė])</f>
        <v>205</v>
      </c>
      <c r="W31" s="62">
        <f>SUMIF(Table19[Miestas (stotis)],Table310[[#This Row],[Miestas (stotis)]],Table19[Vidutinė temperatūra])</f>
        <v>3.0224390243902435</v>
      </c>
      <c r="X31" s="79">
        <f>SUMIF(Table10[Lokacija],Table310[[#This Row],[Lokacija turto vertei]],Table10[Vertės padidėjimas])</f>
        <v>0.03</v>
      </c>
    </row>
    <row r="32" spans="4:24" x14ac:dyDescent="0.25">
      <c r="D32">
        <v>900</v>
      </c>
      <c r="N32" s="60" t="s">
        <v>41</v>
      </c>
      <c r="O32">
        <f>VLOOKUP(O31,Table310[[Savivaldybė]:[Vertės padidėjimas]],6,FALSE)</f>
        <v>2.0868544600938961</v>
      </c>
      <c r="Q32" t="s">
        <v>134</v>
      </c>
      <c r="R32" t="s">
        <v>135</v>
      </c>
      <c r="S32" t="s">
        <v>66</v>
      </c>
      <c r="T32" t="s">
        <v>53</v>
      </c>
      <c r="U32" t="s">
        <v>67</v>
      </c>
      <c r="V32">
        <f>SUMIF(Table19[Miestas (stotis)],Table310[[#This Row],[Miestas (stotis)]],Table19[Šildymo sezono trukmė])</f>
        <v>227</v>
      </c>
      <c r="W32" s="62">
        <f>SUMIF(Table19[Miestas (stotis)],Table310[[#This Row],[Miestas (stotis)]],Table19[Vidutinė temperatūra])</f>
        <v>2.9162995594713634</v>
      </c>
      <c r="X32" s="79">
        <f>SUMIF(Table10[Lokacija],Table310[[#This Row],[Lokacija turto vertei]],Table10[Vertės padidėjimas])</f>
        <v>0.03</v>
      </c>
    </row>
    <row r="33" spans="4:24" x14ac:dyDescent="0.25">
      <c r="D33">
        <v>925</v>
      </c>
      <c r="N33" s="60" t="s">
        <v>40</v>
      </c>
      <c r="O33">
        <f>VLOOKUP(O31,Table310[[Savivaldybė]:[Vertės padidėjimas]],5,FALSE)</f>
        <v>212</v>
      </c>
      <c r="Q33" t="s">
        <v>136</v>
      </c>
      <c r="R33" t="s">
        <v>137</v>
      </c>
      <c r="S33" t="s">
        <v>114</v>
      </c>
      <c r="T33" t="s">
        <v>47</v>
      </c>
      <c r="U33" t="s">
        <v>67</v>
      </c>
      <c r="V33">
        <f>SUMIF(Table19[Miestas (stotis)],Table310[[#This Row],[Miestas (stotis)]],Table19[Šildymo sezono trukmė])</f>
        <v>205</v>
      </c>
      <c r="W33" s="62">
        <f>SUMIF(Table19[Miestas (stotis)],Table310[[#This Row],[Miestas (stotis)]],Table19[Vidutinė temperatūra])</f>
        <v>3.63951219512195</v>
      </c>
      <c r="X33" s="79">
        <f>SUMIF(Table10[Lokacija],Table310[[#This Row],[Lokacija turto vertei]],Table10[Vertės padidėjimas])</f>
        <v>0.03</v>
      </c>
    </row>
    <row r="34" spans="4:24" x14ac:dyDescent="0.25">
      <c r="D34">
        <v>950</v>
      </c>
      <c r="N34" s="60" t="s">
        <v>197</v>
      </c>
      <c r="O34">
        <f>VLOOKUP(O31,Table310[[Savivaldybė]:[Vertės padidėjimas]],7,FALSE)</f>
        <v>0.03</v>
      </c>
      <c r="Q34" t="s">
        <v>138</v>
      </c>
      <c r="R34" t="s">
        <v>139</v>
      </c>
      <c r="S34" t="s">
        <v>81</v>
      </c>
      <c r="T34" t="s">
        <v>51</v>
      </c>
      <c r="U34" t="s">
        <v>67</v>
      </c>
      <c r="V34">
        <f>SUMIF(Table19[Miestas (stotis)],Table310[[#This Row],[Miestas (stotis)]],Table19[Šildymo sezono trukmė])</f>
        <v>220</v>
      </c>
      <c r="W34" s="62">
        <f>SUMIF(Table19[Miestas (stotis)],Table310[[#This Row],[Miestas (stotis)]],Table19[Vidutinė temperatūra])</f>
        <v>2.0545454545454556</v>
      </c>
      <c r="X34" s="79">
        <f>SUMIF(Table10[Lokacija],Table310[[#This Row],[Lokacija turto vertei]],Table10[Vertės padidėjimas])</f>
        <v>0.03</v>
      </c>
    </row>
    <row r="35" spans="4:24" x14ac:dyDescent="0.25">
      <c r="D35">
        <v>975</v>
      </c>
      <c r="N35" s="60" t="s">
        <v>208</v>
      </c>
      <c r="O35">
        <f>0.05*'Atsipirkimo vertinimas'!F12/45*12-Skaičiavimai!E12</f>
        <v>9.1333333333333346</v>
      </c>
      <c r="Q35" t="s">
        <v>140</v>
      </c>
      <c r="R35" t="s">
        <v>141</v>
      </c>
      <c r="S35" t="s">
        <v>81</v>
      </c>
      <c r="T35" t="s">
        <v>51</v>
      </c>
      <c r="U35" t="s">
        <v>67</v>
      </c>
      <c r="V35">
        <f>SUMIF(Table19[Miestas (stotis)],Table310[[#This Row],[Miestas (stotis)]],Table19[Šildymo sezono trukmė])</f>
        <v>220</v>
      </c>
      <c r="W35" s="62">
        <f>SUMIF(Table19[Miestas (stotis)],Table310[[#This Row],[Miestas (stotis)]],Table19[Vidutinė temperatūra])</f>
        <v>2.0545454545454556</v>
      </c>
      <c r="X35" s="79">
        <f>SUMIF(Table10[Lokacija],Table310[[#This Row],[Lokacija turto vertei]],Table10[Vertės padidėjimas])</f>
        <v>0.03</v>
      </c>
    </row>
    <row r="36" spans="4:24" x14ac:dyDescent="0.25">
      <c r="D36">
        <v>1000</v>
      </c>
      <c r="Q36" t="s">
        <v>142</v>
      </c>
      <c r="R36" t="s">
        <v>143</v>
      </c>
      <c r="S36" t="s">
        <v>81</v>
      </c>
      <c r="T36" t="s">
        <v>42</v>
      </c>
      <c r="U36" t="s">
        <v>67</v>
      </c>
      <c r="V36">
        <f>SUMIF(Table19[Miestas (stotis)],Table310[[#This Row],[Miestas (stotis)]],Table19[Šildymo sezono trukmė])</f>
        <v>209</v>
      </c>
      <c r="W36" s="62">
        <f>SUMIF(Table19[Miestas (stotis)],Table310[[#This Row],[Miestas (stotis)]],Table19[Vidutinė temperatūra])</f>
        <v>2.0578947368421048</v>
      </c>
      <c r="X36" s="79">
        <f>SUMIF(Table10[Lokacija],Table310[[#This Row],[Lokacija turto vertei]],Table10[Vertės padidėjimas])</f>
        <v>0.03</v>
      </c>
    </row>
    <row r="37" spans="4:24" x14ac:dyDescent="0.25">
      <c r="Q37" t="s">
        <v>144</v>
      </c>
      <c r="R37" t="s">
        <v>145</v>
      </c>
      <c r="S37" t="s">
        <v>127</v>
      </c>
      <c r="T37" t="s">
        <v>55</v>
      </c>
      <c r="U37" t="s">
        <v>67</v>
      </c>
      <c r="V37">
        <f>SUMIF(Table19[Miestas (stotis)],Table310[[#This Row],[Miestas (stotis)]],Table19[Šildymo sezono trukmė])</f>
        <v>204</v>
      </c>
      <c r="W37" s="62">
        <f>SUMIF(Table19[Miestas (stotis)],Table310[[#This Row],[Miestas (stotis)]],Table19[Vidutinė temperatūra])</f>
        <v>2.1098039215686284</v>
      </c>
      <c r="X37" s="79">
        <f>SUMIF(Table10[Lokacija],Table310[[#This Row],[Lokacija turto vertei]],Table10[Vertės padidėjimas])</f>
        <v>0.03</v>
      </c>
    </row>
    <row r="38" spans="4:24" x14ac:dyDescent="0.25">
      <c r="Q38" t="s">
        <v>146</v>
      </c>
      <c r="R38" t="s">
        <v>147</v>
      </c>
      <c r="S38" t="s">
        <v>78</v>
      </c>
      <c r="T38" t="s">
        <v>45</v>
      </c>
      <c r="U38" t="s">
        <v>67</v>
      </c>
      <c r="V38">
        <f>SUMIF(Table19[Miestas (stotis)],Table310[[#This Row],[Miestas (stotis)]],Table19[Šildymo sezono trukmė])</f>
        <v>210</v>
      </c>
      <c r="W38" s="62">
        <f>SUMIF(Table19[Miestas (stotis)],Table310[[#This Row],[Miestas (stotis)]],Table19[Vidutinė temperatūra])</f>
        <v>2.6433333333333318</v>
      </c>
      <c r="X38" s="79">
        <f>SUMIF(Table10[Lokacija],Table310[[#This Row],[Lokacija turto vertei]],Table10[Vertės padidėjimas])</f>
        <v>0.03</v>
      </c>
    </row>
    <row r="39" spans="4:24" x14ac:dyDescent="0.25">
      <c r="Q39" t="s">
        <v>148</v>
      </c>
      <c r="R39" t="s">
        <v>149</v>
      </c>
      <c r="S39" t="s">
        <v>66</v>
      </c>
      <c r="T39" t="s">
        <v>53</v>
      </c>
      <c r="U39" t="s">
        <v>67</v>
      </c>
      <c r="V39">
        <f>SUMIF(Table19[Miestas (stotis)],Table310[[#This Row],[Miestas (stotis)]],Table19[Šildymo sezono trukmė])</f>
        <v>227</v>
      </c>
      <c r="W39" s="62">
        <f>SUMIF(Table19[Miestas (stotis)],Table310[[#This Row],[Miestas (stotis)]],Table19[Vidutinė temperatūra])</f>
        <v>2.9162995594713634</v>
      </c>
      <c r="X39" s="79">
        <f>SUMIF(Table10[Lokacija],Table310[[#This Row],[Lokacija turto vertei]],Table10[Vertės padidėjimas])</f>
        <v>0.03</v>
      </c>
    </row>
    <row r="40" spans="4:24" x14ac:dyDescent="0.25">
      <c r="Q40" t="s">
        <v>150</v>
      </c>
      <c r="R40" t="s">
        <v>151</v>
      </c>
      <c r="S40" t="s">
        <v>78</v>
      </c>
      <c r="T40" t="s">
        <v>52</v>
      </c>
      <c r="U40" t="s">
        <v>67</v>
      </c>
      <c r="V40">
        <f>SUMIF(Table19[Miestas (stotis)],Table310[[#This Row],[Miestas (stotis)]],Table19[Šildymo sezono trukmė])</f>
        <v>221</v>
      </c>
      <c r="W40" s="62">
        <f>SUMIF(Table19[Miestas (stotis)],Table310[[#This Row],[Miestas (stotis)]],Table19[Vidutinė temperatūra])</f>
        <v>2.6081081081081092</v>
      </c>
      <c r="X40" s="79">
        <f>SUMIF(Table10[Lokacija],Table310[[#This Row],[Lokacija turto vertei]],Table10[Vertės padidėjimas])</f>
        <v>0.03</v>
      </c>
    </row>
    <row r="41" spans="4:24" x14ac:dyDescent="0.25">
      <c r="Q41" t="s">
        <v>152</v>
      </c>
      <c r="R41" t="s">
        <v>153</v>
      </c>
      <c r="S41" t="s">
        <v>127</v>
      </c>
      <c r="T41" t="s">
        <v>55</v>
      </c>
      <c r="U41" t="s">
        <v>67</v>
      </c>
      <c r="V41">
        <f>SUMIF(Table19[Miestas (stotis)],Table310[[#This Row],[Miestas (stotis)]],Table19[Šildymo sezono trukmė])</f>
        <v>204</v>
      </c>
      <c r="W41" s="62">
        <f>SUMIF(Table19[Miestas (stotis)],Table310[[#This Row],[Miestas (stotis)]],Table19[Vidutinė temperatūra])</f>
        <v>2.1098039215686284</v>
      </c>
      <c r="X41" s="79">
        <f>SUMIF(Table10[Lokacija],Table310[[#This Row],[Lokacija turto vertei]],Table10[Vertės padidėjimas])</f>
        <v>0.03</v>
      </c>
    </row>
    <row r="42" spans="4:24" x14ac:dyDescent="0.25">
      <c r="Q42" t="s">
        <v>154</v>
      </c>
      <c r="R42" t="s">
        <v>155</v>
      </c>
      <c r="S42" t="s">
        <v>81</v>
      </c>
      <c r="T42" t="s">
        <v>42</v>
      </c>
      <c r="U42" t="s">
        <v>67</v>
      </c>
      <c r="V42">
        <f>SUMIF(Table19[Miestas (stotis)],Table310[[#This Row],[Miestas (stotis)]],Table19[Šildymo sezono trukmė])</f>
        <v>209</v>
      </c>
      <c r="W42" s="62">
        <f>SUMIF(Table19[Miestas (stotis)],Table310[[#This Row],[Miestas (stotis)]],Table19[Vidutinė temperatūra])</f>
        <v>2.0578947368421048</v>
      </c>
      <c r="X42" s="79">
        <f>SUMIF(Table10[Lokacija],Table310[[#This Row],[Lokacija turto vertei]],Table10[Vertės padidėjimas])</f>
        <v>0.03</v>
      </c>
    </row>
    <row r="43" spans="4:24" x14ac:dyDescent="0.25">
      <c r="Q43" t="s">
        <v>156</v>
      </c>
      <c r="R43" t="s">
        <v>157</v>
      </c>
      <c r="S43" t="s">
        <v>114</v>
      </c>
      <c r="T43" t="s">
        <v>55</v>
      </c>
      <c r="U43" t="s">
        <v>67</v>
      </c>
      <c r="V43">
        <f>SUMIF(Table19[Miestas (stotis)],Table310[[#This Row],[Miestas (stotis)]],Table19[Šildymo sezono trukmė])</f>
        <v>204</v>
      </c>
      <c r="W43" s="62">
        <f>SUMIF(Table19[Miestas (stotis)],Table310[[#This Row],[Miestas (stotis)]],Table19[Vidutinė temperatūra])</f>
        <v>2.1098039215686284</v>
      </c>
      <c r="X43" s="79">
        <f>SUMIF(Table10[Lokacija],Table310[[#This Row],[Lokacija turto vertei]],Table10[Vertės padidėjimas])</f>
        <v>0.03</v>
      </c>
    </row>
    <row r="44" spans="4:24" x14ac:dyDescent="0.25">
      <c r="Q44" t="s">
        <v>158</v>
      </c>
      <c r="R44" t="s">
        <v>159</v>
      </c>
      <c r="S44" t="s">
        <v>100</v>
      </c>
      <c r="T44" t="s">
        <v>46</v>
      </c>
      <c r="U44" t="s">
        <v>67</v>
      </c>
      <c r="V44">
        <f>SUMIF(Table19[Miestas (stotis)],Table310[[#This Row],[Miestas (stotis)]],Table19[Šildymo sezono trukmė])</f>
        <v>197</v>
      </c>
      <c r="W44" s="62">
        <f>SUMIF(Table19[Miestas (stotis)],Table310[[#This Row],[Miestas (stotis)]],Table19[Vidutinė temperatūra])</f>
        <v>2.6419191919191913</v>
      </c>
      <c r="X44" s="79">
        <f>SUMIF(Table10[Lokacija],Table310[[#This Row],[Lokacija turto vertei]],Table10[Vertės padidėjimas])</f>
        <v>0.03</v>
      </c>
    </row>
    <row r="45" spans="4:24" x14ac:dyDescent="0.25">
      <c r="Q45" t="s">
        <v>160</v>
      </c>
      <c r="R45" t="s">
        <v>161</v>
      </c>
      <c r="S45" t="s">
        <v>86</v>
      </c>
      <c r="T45" t="s">
        <v>58</v>
      </c>
      <c r="U45" t="s">
        <v>67</v>
      </c>
      <c r="V45">
        <f>SUMIF(Table19[Miestas (stotis)],Table310[[#This Row],[Miestas (stotis)]],Table19[Šildymo sezono trukmė])</f>
        <v>221</v>
      </c>
      <c r="W45" s="62">
        <f>SUMIF(Table19[Miestas (stotis)],Table310[[#This Row],[Miestas (stotis)]],Table19[Vidutinė temperatūra])</f>
        <v>2.4103603603603601</v>
      </c>
      <c r="X45" s="79">
        <f>SUMIF(Table10[Lokacija],Table310[[#This Row],[Lokacija turto vertei]],Table10[Vertės padidėjimas])</f>
        <v>0.03</v>
      </c>
    </row>
    <row r="46" spans="4:24" x14ac:dyDescent="0.25">
      <c r="Q46" t="s">
        <v>162</v>
      </c>
      <c r="R46" t="s">
        <v>163</v>
      </c>
      <c r="S46" t="s">
        <v>66</v>
      </c>
      <c r="T46" t="s">
        <v>53</v>
      </c>
      <c r="U46" t="s">
        <v>67</v>
      </c>
      <c r="V46">
        <f>SUMIF(Table19[Miestas (stotis)],Table310[[#This Row],[Miestas (stotis)]],Table19[Šildymo sezono trukmė])</f>
        <v>227</v>
      </c>
      <c r="W46" s="62">
        <f>SUMIF(Table19[Miestas (stotis)],Table310[[#This Row],[Miestas (stotis)]],Table19[Vidutinė temperatūra])</f>
        <v>2.9162995594713634</v>
      </c>
      <c r="X46" s="79">
        <f>SUMIF(Table10[Lokacija],Table310[[#This Row],[Lokacija turto vertei]],Table10[Vertės padidėjimas])</f>
        <v>0.03</v>
      </c>
    </row>
    <row r="47" spans="4:24" x14ac:dyDescent="0.25">
      <c r="Q47" t="s">
        <v>164</v>
      </c>
      <c r="R47" t="s">
        <v>165</v>
      </c>
      <c r="S47" t="s">
        <v>66</v>
      </c>
      <c r="T47" t="s">
        <v>53</v>
      </c>
      <c r="U47" t="s">
        <v>67</v>
      </c>
      <c r="V47">
        <f>SUMIF(Table19[Miestas (stotis)],Table310[[#This Row],[Miestas (stotis)]],Table19[Šildymo sezono trukmė])</f>
        <v>227</v>
      </c>
      <c r="W47" s="62">
        <f>SUMIF(Table19[Miestas (stotis)],Table310[[#This Row],[Miestas (stotis)]],Table19[Vidutinė temperatūra])</f>
        <v>2.9162995594713634</v>
      </c>
      <c r="X47" s="79">
        <f>SUMIF(Table10[Lokacija],Table310[[#This Row],[Lokacija turto vertei]],Table10[Vertės padidėjimas])</f>
        <v>0.03</v>
      </c>
    </row>
    <row r="48" spans="4:24" x14ac:dyDescent="0.25">
      <c r="Q48" t="s">
        <v>166</v>
      </c>
      <c r="R48" t="s">
        <v>167</v>
      </c>
      <c r="S48" t="s">
        <v>95</v>
      </c>
      <c r="T48" t="s">
        <v>48</v>
      </c>
      <c r="U48" t="s">
        <v>67</v>
      </c>
      <c r="V48">
        <f>SUMIF(Table19[Miestas (stotis)],Table310[[#This Row],[Miestas (stotis)]],Table19[Šildymo sezono trukmė])</f>
        <v>202</v>
      </c>
      <c r="W48" s="62">
        <f>SUMIF(Table19[Miestas (stotis)],Table310[[#This Row],[Miestas (stotis)]],Table19[Vidutinė temperatūra])</f>
        <v>1.7985148514851481</v>
      </c>
      <c r="X48" s="79">
        <f>SUMIF(Table10[Lokacija],Table310[[#This Row],[Lokacija turto vertei]],Table10[Vertės padidėjimas])</f>
        <v>0.03</v>
      </c>
    </row>
    <row r="49" spans="17:24" x14ac:dyDescent="0.25">
      <c r="Q49" t="s">
        <v>168</v>
      </c>
      <c r="R49" t="s">
        <v>169</v>
      </c>
      <c r="S49" t="s">
        <v>114</v>
      </c>
      <c r="T49" t="s">
        <v>54</v>
      </c>
      <c r="U49" t="s">
        <v>67</v>
      </c>
      <c r="V49">
        <f>SUMIF(Table19[Miestas (stotis)],Table310[[#This Row],[Miestas (stotis)]],Table19[Šildymo sezono trukmė])</f>
        <v>205</v>
      </c>
      <c r="W49" s="62">
        <f>SUMIF(Table19[Miestas (stotis)],Table310[[#This Row],[Miestas (stotis)]],Table19[Vidutinė temperatūra])</f>
        <v>3.0224390243902435</v>
      </c>
      <c r="X49" s="79">
        <f>SUMIF(Table10[Lokacija],Table310[[#This Row],[Lokacija turto vertei]],Table10[Vertės padidėjimas])</f>
        <v>0.03</v>
      </c>
    </row>
    <row r="50" spans="17:24" x14ac:dyDescent="0.25">
      <c r="Q50" t="s">
        <v>170</v>
      </c>
      <c r="R50" t="s">
        <v>171</v>
      </c>
      <c r="S50" t="s">
        <v>86</v>
      </c>
      <c r="T50" t="s">
        <v>56</v>
      </c>
      <c r="U50" t="s">
        <v>67</v>
      </c>
      <c r="V50">
        <f>SUMIF(Table19[Miestas (stotis)],Table310[[#This Row],[Miestas (stotis)]],Table19[Šildymo sezono trukmė])</f>
        <v>222</v>
      </c>
      <c r="W50" s="62">
        <f>SUMIF(Table19[Miestas (stotis)],Table310[[#This Row],[Miestas (stotis)]],Table19[Vidutinė temperatūra])</f>
        <v>2.6243243243243239</v>
      </c>
      <c r="X50" s="79">
        <f>SUMIF(Table10[Lokacija],Table310[[#This Row],[Lokacija turto vertei]],Table10[Vertės padidėjimas])</f>
        <v>0.03</v>
      </c>
    </row>
    <row r="51" spans="17:24" x14ac:dyDescent="0.25">
      <c r="Q51" t="s">
        <v>172</v>
      </c>
      <c r="R51" t="s">
        <v>173</v>
      </c>
      <c r="S51" t="s">
        <v>86</v>
      </c>
      <c r="T51" t="s">
        <v>57</v>
      </c>
      <c r="U51" t="s">
        <v>67</v>
      </c>
      <c r="V51">
        <f>SUMIF(Table19[Miestas (stotis)],Table310[[#This Row],[Miestas (stotis)]],Table19[Šildymo sezono trukmė])</f>
        <v>212</v>
      </c>
      <c r="W51" s="62">
        <f>SUMIF(Table19[Miestas (stotis)],Table310[[#This Row],[Miestas (stotis)]],Table19[Vidutinė temperatūra])</f>
        <v>2.0868544600938961</v>
      </c>
      <c r="X51" s="79">
        <f>SUMIF(Table10[Lokacija],Table310[[#This Row],[Lokacija turto vertei]],Table10[Vertės padidėjimas])</f>
        <v>0.03</v>
      </c>
    </row>
    <row r="52" spans="17:24" x14ac:dyDescent="0.25">
      <c r="Q52" t="s">
        <v>174</v>
      </c>
      <c r="R52" t="s">
        <v>175</v>
      </c>
      <c r="S52" t="s">
        <v>95</v>
      </c>
      <c r="T52" t="s">
        <v>48</v>
      </c>
      <c r="U52" t="s">
        <v>67</v>
      </c>
      <c r="V52">
        <f>SUMIF(Table19[Miestas (stotis)],Table310[[#This Row],[Miestas (stotis)]],Table19[Šildymo sezono trukmė])</f>
        <v>202</v>
      </c>
      <c r="W52" s="62">
        <f>SUMIF(Table19[Miestas (stotis)],Table310[[#This Row],[Miestas (stotis)]],Table19[Vidutinė temperatūra])</f>
        <v>1.7985148514851481</v>
      </c>
      <c r="X52" s="79">
        <f>SUMIF(Table10[Lokacija],Table310[[#This Row],[Lokacija turto vertei]],Table10[Vertės padidėjimas])</f>
        <v>0.03</v>
      </c>
    </row>
    <row r="53" spans="17:24" x14ac:dyDescent="0.25">
      <c r="Q53" t="s">
        <v>176</v>
      </c>
      <c r="R53" t="s">
        <v>177</v>
      </c>
      <c r="S53" t="s">
        <v>127</v>
      </c>
      <c r="T53" t="s">
        <v>55</v>
      </c>
      <c r="U53" t="s">
        <v>67</v>
      </c>
      <c r="V53">
        <f>SUMIF(Table19[Miestas (stotis)],Table310[[#This Row],[Miestas (stotis)]],Table19[Šildymo sezono trukmė])</f>
        <v>204</v>
      </c>
      <c r="W53" s="62">
        <f>SUMIF(Table19[Miestas (stotis)],Table310[[#This Row],[Miestas (stotis)]],Table19[Vidutinė temperatūra])</f>
        <v>2.1098039215686284</v>
      </c>
      <c r="X53" s="79">
        <f>SUMIF(Table10[Lokacija],Table310[[#This Row],[Lokacija turto vertei]],Table10[Vertės padidėjimas])</f>
        <v>0.03</v>
      </c>
    </row>
    <row r="54" spans="17:24" x14ac:dyDescent="0.25">
      <c r="Q54" t="s">
        <v>178</v>
      </c>
      <c r="R54" t="s">
        <v>179</v>
      </c>
      <c r="S54" t="s">
        <v>86</v>
      </c>
      <c r="T54" t="s">
        <v>59</v>
      </c>
      <c r="U54" t="s">
        <v>67</v>
      </c>
      <c r="V54">
        <f>SUMIF(Table19[Miestas (stotis)],Table310[[#This Row],[Miestas (stotis)]],Table19[Šildymo sezono trukmė])</f>
        <v>200</v>
      </c>
      <c r="W54" s="62">
        <f>SUMIF(Table19[Miestas (stotis)],Table310[[#This Row],[Miestas (stotis)]],Table19[Vidutinė temperatūra])</f>
        <v>1.4904999999999986</v>
      </c>
      <c r="X54" s="79">
        <f>SUMIF(Table10[Lokacija],Table310[[#This Row],[Lokacija turto vertei]],Table10[Vertės padidėjimas])</f>
        <v>0.03</v>
      </c>
    </row>
    <row r="55" spans="17:24" x14ac:dyDescent="0.25">
      <c r="Q55" t="s">
        <v>180</v>
      </c>
      <c r="R55" t="s">
        <v>181</v>
      </c>
      <c r="S55" t="s">
        <v>86</v>
      </c>
      <c r="T55" t="s">
        <v>56</v>
      </c>
      <c r="U55" t="s">
        <v>67</v>
      </c>
      <c r="V55">
        <f>SUMIF(Table19[Miestas (stotis)],Table310[[#This Row],[Miestas (stotis)]],Table19[Šildymo sezono trukmė])</f>
        <v>222</v>
      </c>
      <c r="W55" s="62">
        <f>SUMIF(Table19[Miestas (stotis)],Table310[[#This Row],[Miestas (stotis)]],Table19[Vidutinė temperatūra])</f>
        <v>2.6243243243243239</v>
      </c>
      <c r="X55" s="79">
        <f>SUMIF(Table10[Lokacija],Table310[[#This Row],[Lokacija turto vertei]],Table10[Vertės padidėjimas])</f>
        <v>0.03</v>
      </c>
    </row>
    <row r="56" spans="17:24" x14ac:dyDescent="0.25">
      <c r="Q56" t="s">
        <v>182</v>
      </c>
      <c r="R56" t="s">
        <v>183</v>
      </c>
      <c r="S56" t="s">
        <v>75</v>
      </c>
      <c r="T56" t="s">
        <v>57</v>
      </c>
      <c r="U56" t="s">
        <v>67</v>
      </c>
      <c r="V56">
        <f>SUMIF(Table19[Miestas (stotis)],Table310[[#This Row],[Miestas (stotis)]],Table19[Šildymo sezono trukmė])</f>
        <v>212</v>
      </c>
      <c r="W56" s="62">
        <f>SUMIF(Table19[Miestas (stotis)],Table310[[#This Row],[Miestas (stotis)]],Table19[Vidutinė temperatūra])</f>
        <v>2.0868544600938961</v>
      </c>
      <c r="X56" s="79">
        <f>SUMIF(Table10[Lokacija],Table310[[#This Row],[Lokacija turto vertei]],Table10[Vertės padidėjimas])</f>
        <v>0.03</v>
      </c>
    </row>
    <row r="57" spans="17:24" x14ac:dyDescent="0.25">
      <c r="Q57" t="s">
        <v>184</v>
      </c>
      <c r="R57" t="s">
        <v>185</v>
      </c>
      <c r="S57" t="s">
        <v>70</v>
      </c>
      <c r="T57" t="s">
        <v>58</v>
      </c>
      <c r="U57" t="s">
        <v>67</v>
      </c>
      <c r="V57">
        <f>SUMIF(Table19[Miestas (stotis)],Table310[[#This Row],[Miestas (stotis)]],Table19[Šildymo sezono trukmė])</f>
        <v>221</v>
      </c>
      <c r="W57" s="62">
        <f>SUMIF(Table19[Miestas (stotis)],Table310[[#This Row],[Miestas (stotis)]],Table19[Vidutinė temperatūra])</f>
        <v>2.4103603603603601</v>
      </c>
      <c r="X57" s="79">
        <f>SUMIF(Table10[Lokacija],Table310[[#This Row],[Lokacija turto vertei]],Table10[Vertės padidėjimas])</f>
        <v>0.03</v>
      </c>
    </row>
    <row r="58" spans="17:24" x14ac:dyDescent="0.25">
      <c r="Q58" t="s">
        <v>186</v>
      </c>
      <c r="R58" t="s">
        <v>187</v>
      </c>
      <c r="S58" t="s">
        <v>100</v>
      </c>
      <c r="T58" t="s">
        <v>46</v>
      </c>
      <c r="U58" t="s">
        <v>67</v>
      </c>
      <c r="V58">
        <f>SUMIF(Table19[Miestas (stotis)],Table310[[#This Row],[Miestas (stotis)]],Table19[Šildymo sezono trukmė])</f>
        <v>197</v>
      </c>
      <c r="W58" s="62">
        <f>SUMIF(Table19[Miestas (stotis)],Table310[[#This Row],[Miestas (stotis)]],Table19[Vidutinė temperatūra])</f>
        <v>2.6419191919191913</v>
      </c>
      <c r="X58" s="79">
        <f>SUMIF(Table10[Lokacija],Table310[[#This Row],[Lokacija turto vertei]],Table10[Vertės padidėjimas])</f>
        <v>0.03</v>
      </c>
    </row>
    <row r="59" spans="17:24" x14ac:dyDescent="0.25">
      <c r="Q59" t="s">
        <v>188</v>
      </c>
      <c r="R59" t="s">
        <v>17</v>
      </c>
      <c r="S59" t="s">
        <v>86</v>
      </c>
      <c r="T59" t="s">
        <v>59</v>
      </c>
      <c r="U59" t="s">
        <v>18</v>
      </c>
      <c r="V59">
        <f>SUMIF(Table19[Miestas (stotis)],Table310[[#This Row],[Miestas (stotis)]],Table19[Šildymo sezono trukmė])</f>
        <v>200</v>
      </c>
      <c r="W59" s="62">
        <f>SUMIF(Table19[Miestas (stotis)],Table310[[#This Row],[Miestas (stotis)]],Table19[Vidutinė temperatūra])</f>
        <v>1.4904999999999986</v>
      </c>
      <c r="X59" s="79">
        <f>SUMIF(Table10[Lokacija],Table310[[#This Row],[Lokacija turto vertei]],Table10[Vertės padidėjimas])</f>
        <v>0.15</v>
      </c>
    </row>
    <row r="60" spans="17:24" x14ac:dyDescent="0.25">
      <c r="Q60" t="s">
        <v>189</v>
      </c>
      <c r="R60" t="s">
        <v>190</v>
      </c>
      <c r="S60" t="s">
        <v>86</v>
      </c>
      <c r="T60" t="s">
        <v>59</v>
      </c>
      <c r="U60" t="s">
        <v>67</v>
      </c>
      <c r="V60">
        <f>SUMIF(Table19[Miestas (stotis)],Table310[[#This Row],[Miestas (stotis)]],Table19[Šildymo sezono trukmė])</f>
        <v>200</v>
      </c>
      <c r="W60" s="62">
        <f>SUMIF(Table19[Miestas (stotis)],Table310[[#This Row],[Miestas (stotis)]],Table19[Vidutinė temperatūra])</f>
        <v>1.4904999999999986</v>
      </c>
      <c r="X60" s="79">
        <f>SUMIF(Table10[Lokacija],Table310[[#This Row],[Lokacija turto vertei]],Table10[Vertės padidėjimas])</f>
        <v>0.03</v>
      </c>
    </row>
    <row r="61" spans="17:24" x14ac:dyDescent="0.25">
      <c r="Q61" t="s">
        <v>191</v>
      </c>
      <c r="R61" t="s">
        <v>192</v>
      </c>
      <c r="S61" t="s">
        <v>75</v>
      </c>
      <c r="T61" t="s">
        <v>44</v>
      </c>
      <c r="U61" t="s">
        <v>67</v>
      </c>
      <c r="V61">
        <f>SUMIF(Table19[Miestas (stotis)],Table310[[#This Row],[Miestas (stotis)]],Table19[Šildymo sezono trukmė])</f>
        <v>218</v>
      </c>
      <c r="W61" s="62">
        <f>SUMIF(Table19[Miestas (stotis)],Table310[[#This Row],[Miestas (stotis)]],Table19[Vidutinė temperatūra])</f>
        <v>1.4922018348623853</v>
      </c>
      <c r="X61" s="79">
        <f>SUMIF(Table10[Lokacija],Table310[[#This Row],[Lokacija turto vertei]],Table10[Vertės padidėjimas])</f>
        <v>0.03</v>
      </c>
    </row>
    <row r="62" spans="17:24" x14ac:dyDescent="0.25">
      <c r="Q62" t="s">
        <v>193</v>
      </c>
      <c r="R62" t="s">
        <v>194</v>
      </c>
      <c r="S62" t="s">
        <v>75</v>
      </c>
      <c r="T62" t="s">
        <v>44</v>
      </c>
      <c r="U62" t="s">
        <v>67</v>
      </c>
      <c r="V62">
        <f>SUMIF(Table19[Miestas (stotis)],Table310[[#This Row],[Miestas (stotis)]],Table19[Šildymo sezono trukmė])</f>
        <v>218</v>
      </c>
      <c r="W62" s="62">
        <f>SUMIF(Table19[Miestas (stotis)],Table310[[#This Row],[Miestas (stotis)]],Table19[Vidutinė temperatūra])</f>
        <v>1.4922018348623853</v>
      </c>
      <c r="X62" s="79">
        <f>SUMIF(Table10[Lokacija],Table310[[#This Row],[Lokacija turto vertei]],Table10[Vertės padidėjimas])</f>
        <v>0.03</v>
      </c>
    </row>
  </sheetData>
  <sheetProtection algorithmName="SHA-512" hashValue="gBQz7W78AA/FUol3yJTXZeq9T4iojWt2a5kluxZ7905PV6fQzFL+sGTxn8L55tK/h+97dfpSYW7fJvmQVKKVyQ==" saltValue="onh7+cThTrOsexvCCcOcBw==" spinCount="100000" sheet="1" objects="1" scenarios="1"/>
  <pageMargins left="0.7" right="0.7" top="0.75" bottom="0.75" header="0.3" footer="0.3"/>
  <pageSetup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B3419-5D3D-4FFE-95DE-218815D1F058}">
  <sheetPr codeName="Sheet5"/>
  <dimension ref="A1:AV604"/>
  <sheetViews>
    <sheetView zoomScale="85" zoomScaleNormal="85" workbookViewId="0">
      <selection activeCell="J4" sqref="J4"/>
    </sheetView>
  </sheetViews>
  <sheetFormatPr defaultRowHeight="15" x14ac:dyDescent="0.25"/>
  <cols>
    <col min="3" max="3" width="12.28515625" customWidth="1"/>
    <col min="4" max="12" width="15.7109375" customWidth="1"/>
    <col min="14" max="24" width="15.7109375" customWidth="1"/>
    <col min="26" max="26" width="14.85546875" customWidth="1"/>
    <col min="28" max="28" width="10" customWidth="1"/>
  </cols>
  <sheetData>
    <row r="1" spans="1:48" x14ac:dyDescent="0.25">
      <c r="A1" s="58">
        <v>0.03</v>
      </c>
      <c r="B1" t="s">
        <v>240</v>
      </c>
      <c r="F1">
        <f>'Atsipirkimo vertinimas'!$N$18</f>
        <v>20</v>
      </c>
    </row>
    <row r="2" spans="1:48" x14ac:dyDescent="0.25">
      <c r="C2" s="124" t="s">
        <v>227</v>
      </c>
      <c r="D2" s="124"/>
      <c r="E2" s="124"/>
      <c r="F2" s="124"/>
      <c r="G2" s="124"/>
      <c r="H2" s="124"/>
      <c r="I2" s="83"/>
      <c r="J2" s="83"/>
      <c r="K2" s="83"/>
      <c r="N2" s="125" t="s">
        <v>228</v>
      </c>
      <c r="O2" s="125"/>
      <c r="P2" s="125"/>
      <c r="Q2" s="125"/>
      <c r="R2" s="125"/>
      <c r="S2" s="125"/>
      <c r="T2" s="125"/>
      <c r="U2" s="125"/>
      <c r="V2" s="84">
        <f>'Atsipirkimo vertinimas'!$N$20</f>
        <v>24</v>
      </c>
      <c r="W2" s="84">
        <f>'Atsipirkimo vertinimas'!$N$19</f>
        <v>4.9000000000000002E-2</v>
      </c>
      <c r="X2" t="str">
        <f>'Atsipirkimo vertinimas'!$N$21</f>
        <v>Anuiteto</v>
      </c>
    </row>
    <row r="3" spans="1:48" ht="45" x14ac:dyDescent="0.25">
      <c r="C3" s="85" t="s">
        <v>229</v>
      </c>
      <c r="D3" s="85" t="s">
        <v>230</v>
      </c>
      <c r="E3" s="85" t="s">
        <v>231</v>
      </c>
      <c r="F3" s="85" t="s">
        <v>232</v>
      </c>
      <c r="G3" s="85" t="s">
        <v>233</v>
      </c>
      <c r="H3" s="85" t="s">
        <v>27</v>
      </c>
      <c r="I3" s="85" t="s">
        <v>6</v>
      </c>
      <c r="J3" s="85" t="s">
        <v>234</v>
      </c>
      <c r="K3" s="85" t="s">
        <v>235</v>
      </c>
      <c r="L3" s="85" t="s">
        <v>236</v>
      </c>
      <c r="M3" s="86"/>
      <c r="N3" s="85" t="s">
        <v>229</v>
      </c>
      <c r="O3" s="85" t="s">
        <v>237</v>
      </c>
      <c r="P3" s="85" t="s">
        <v>230</v>
      </c>
      <c r="Q3" s="85" t="s">
        <v>231</v>
      </c>
      <c r="R3" s="85" t="s">
        <v>232</v>
      </c>
      <c r="S3" s="85" t="s">
        <v>233</v>
      </c>
      <c r="T3" s="85" t="s">
        <v>27</v>
      </c>
      <c r="U3" s="85" t="s">
        <v>238</v>
      </c>
      <c r="V3" s="85" t="s">
        <v>6</v>
      </c>
      <c r="W3" s="85" t="s">
        <v>234</v>
      </c>
      <c r="X3" s="85" t="s">
        <v>236</v>
      </c>
      <c r="Y3" s="85"/>
      <c r="Z3" s="84"/>
      <c r="AB3" s="65" t="s">
        <v>239</v>
      </c>
      <c r="AE3" s="87"/>
    </row>
    <row r="4" spans="1:48" ht="30" x14ac:dyDescent="0.25">
      <c r="C4" s="88">
        <v>0</v>
      </c>
      <c r="D4" s="92">
        <f>IF(H4=0,E4+F4,E4+F4+$K$4)</f>
        <v>0</v>
      </c>
      <c r="E4" s="92">
        <f>IF(H4=0,0,G4*(0.03)/12)</f>
        <v>0</v>
      </c>
      <c r="F4" s="92">
        <f>($G$4/('Atsipirkimo vertinimas'!$N$18*12-'Atsipirkimo vertinimas'!$N$20)*H4)</f>
        <v>0</v>
      </c>
      <c r="G4" s="92">
        <f>Skaičiavimai!E15</f>
        <v>210</v>
      </c>
      <c r="H4">
        <f>IF(C4-'Atsipirkimo vertinimas'!$N$20&lt;0,0,1)</f>
        <v>0</v>
      </c>
      <c r="I4" s="92"/>
      <c r="J4" s="92">
        <f>IF(H4=0,G4*(0.03)/12,0)</f>
        <v>0.52500000000000002</v>
      </c>
      <c r="K4" s="92">
        <f>(SUM(J4:J603))/('Atsipirkimo vertinimas'!$N$18*12-'Atsipirkimo vertinimas'!$N$20)</f>
        <v>5.8333333333333355E-2</v>
      </c>
      <c r="L4" s="90"/>
      <c r="N4" s="88">
        <v>0</v>
      </c>
      <c r="O4" s="92">
        <f>IF(T4=0,0,($X$4+P4))</f>
        <v>0</v>
      </c>
      <c r="P4" s="92">
        <f>IF($Z$5&lt;S4+(S4*((0.03)/12)),($Z$5*T4)+(Q4*U4),S4+(S4*((0.03)/12)))</f>
        <v>0</v>
      </c>
      <c r="Q4" s="92">
        <f>IF(T4=0,0,S4*(0.03)/12)</f>
        <v>0</v>
      </c>
      <c r="R4" s="92">
        <f>(P4-Q4)*T4</f>
        <v>0</v>
      </c>
      <c r="S4" s="92">
        <f>Skaičiavimai!E15</f>
        <v>210</v>
      </c>
      <c r="T4">
        <f>IF(N4-'Atsipirkimo vertinimas'!$N$20&lt;0,0,1)</f>
        <v>0</v>
      </c>
      <c r="U4">
        <f>IF(N4-'Atsipirkimo vertinimas'!$N$20&gt;=0,0,1)</f>
        <v>1</v>
      </c>
      <c r="V4" s="92"/>
      <c r="W4" s="92">
        <f>IF(T4=0,S4*(0.03)/12,0)</f>
        <v>0.52500000000000002</v>
      </c>
      <c r="X4" s="92">
        <f>(SUM(W4:W603))/('Atsipirkimo vertinimas'!$N$18*12-'Atsipirkimo vertinimas'!$N$20)</f>
        <v>5.8333333333333355E-2</v>
      </c>
      <c r="Z4" s="93" t="s">
        <v>241</v>
      </c>
      <c r="AB4" s="65" t="s">
        <v>228</v>
      </c>
    </row>
    <row r="5" spans="1:48" x14ac:dyDescent="0.25">
      <c r="C5" s="88">
        <v>1</v>
      </c>
      <c r="D5" s="92">
        <f t="shared" ref="D5:D68" si="0">IF(H5=0,E5+F5,E5+F5+$K$4)</f>
        <v>0</v>
      </c>
      <c r="E5" s="92">
        <f t="shared" ref="E5:E63" si="1">IF(H5=0,0,G5*(0.03)/12)</f>
        <v>0</v>
      </c>
      <c r="F5" s="92">
        <f>($G$4/('Atsipirkimo vertinimas'!$N$18*12-'Atsipirkimo vertinimas'!$N$20)*H5)</f>
        <v>0</v>
      </c>
      <c r="G5" s="92">
        <f>(G4-F4)</f>
        <v>210</v>
      </c>
      <c r="H5">
        <f>IF(C5-'Atsipirkimo vertinimas'!$N$20&lt;0,0,1)</f>
        <v>0</v>
      </c>
      <c r="I5" s="92"/>
      <c r="J5" s="92">
        <f t="shared" ref="J5:J68" si="2">IF(H5=0,G5*(0.03)/12,0)</f>
        <v>0.52500000000000002</v>
      </c>
      <c r="K5" s="92"/>
      <c r="N5" s="88">
        <v>1</v>
      </c>
      <c r="O5" s="92">
        <f t="shared" ref="O5:O68" si="3">IF(T5=0,0,($X$4+P5))</f>
        <v>0</v>
      </c>
      <c r="P5" s="92">
        <f t="shared" ref="P5:P63" si="4">IF($Z$5&lt;S5+(S5*((0.03)/12)),($Z$5*T5)+(Q5*U5),S5+(S5*((0.03)/12)))</f>
        <v>0</v>
      </c>
      <c r="Q5" s="92">
        <f t="shared" ref="Q5:Q63" si="5">IF(T5=0,0,S5*(0.03)/12)</f>
        <v>0</v>
      </c>
      <c r="R5" s="92">
        <f>(P5-Q5)*T5</f>
        <v>0</v>
      </c>
      <c r="S5" s="92">
        <f>(S4-R4)</f>
        <v>210</v>
      </c>
      <c r="T5">
        <f>IF(N5-'Atsipirkimo vertinimas'!$N$20&lt;0,0,1)</f>
        <v>0</v>
      </c>
      <c r="U5">
        <f>IF(N5-'Atsipirkimo vertinimas'!$N$20&gt;=0,0,1)</f>
        <v>1</v>
      </c>
      <c r="V5" s="92"/>
      <c r="W5" s="92">
        <f t="shared" ref="W5:W68" si="6">IF(T5=0,S5*(0.03)/12,0)</f>
        <v>0.52500000000000002</v>
      </c>
      <c r="X5" s="88"/>
      <c r="Z5" s="94">
        <f>-PMT((0.03)/12,'Atsipirkimo vertinimas'!$N$18*12-'Atsipirkimo vertinimas'!$N$20,S4,0,0)</f>
        <v>1.2594189104372284</v>
      </c>
      <c r="AB5" s="95" t="s">
        <v>227</v>
      </c>
    </row>
    <row r="6" spans="1:48" x14ac:dyDescent="0.25">
      <c r="C6" s="88">
        <v>2</v>
      </c>
      <c r="D6" s="92">
        <f t="shared" si="0"/>
        <v>0</v>
      </c>
      <c r="E6" s="92">
        <f t="shared" si="1"/>
        <v>0</v>
      </c>
      <c r="F6" s="92">
        <f>($G$4/('Atsipirkimo vertinimas'!$N$18*12-'Atsipirkimo vertinimas'!$N$20)*H6)</f>
        <v>0</v>
      </c>
      <c r="G6" s="92">
        <f t="shared" ref="G6:G69" si="7">(G5-F5)</f>
        <v>210</v>
      </c>
      <c r="H6">
        <f>IF(C6-'Atsipirkimo vertinimas'!$N$20&lt;0,0,1)</f>
        <v>0</v>
      </c>
      <c r="I6" s="92"/>
      <c r="J6" s="92">
        <f t="shared" si="2"/>
        <v>0.52500000000000002</v>
      </c>
      <c r="K6" s="92"/>
      <c r="N6" s="88">
        <v>2</v>
      </c>
      <c r="O6" s="92">
        <f t="shared" si="3"/>
        <v>0</v>
      </c>
      <c r="P6" s="92">
        <f t="shared" si="4"/>
        <v>0</v>
      </c>
      <c r="Q6" s="92">
        <f t="shared" si="5"/>
        <v>0</v>
      </c>
      <c r="R6" s="92">
        <f t="shared" ref="R6:R69" si="8">(P6-Q6)*T6</f>
        <v>0</v>
      </c>
      <c r="S6" s="92">
        <f t="shared" ref="S6:S69" si="9">(S5-R5)</f>
        <v>210</v>
      </c>
      <c r="T6">
        <f>IF(N6-'Atsipirkimo vertinimas'!$N$20&lt;0,0,1)</f>
        <v>0</v>
      </c>
      <c r="U6">
        <f>IF(N6-'Atsipirkimo vertinimas'!$N$20&gt;=0,0,1)</f>
        <v>1</v>
      </c>
      <c r="V6" s="92"/>
      <c r="W6" s="92">
        <f t="shared" si="6"/>
        <v>0.52500000000000002</v>
      </c>
      <c r="X6" s="88"/>
    </row>
    <row r="7" spans="1:48" x14ac:dyDescent="0.25">
      <c r="C7" s="88">
        <v>3</v>
      </c>
      <c r="D7" s="92">
        <f t="shared" si="0"/>
        <v>0</v>
      </c>
      <c r="E7" s="92">
        <f t="shared" si="1"/>
        <v>0</v>
      </c>
      <c r="F7" s="92">
        <f>($G$4/('Atsipirkimo vertinimas'!$N$18*12-'Atsipirkimo vertinimas'!$N$20)*H7)</f>
        <v>0</v>
      </c>
      <c r="G7" s="92">
        <f t="shared" si="7"/>
        <v>210</v>
      </c>
      <c r="H7">
        <f>IF(C7-'Atsipirkimo vertinimas'!$N$20&lt;0,0,1)</f>
        <v>0</v>
      </c>
      <c r="I7" s="92"/>
      <c r="J7" s="92">
        <f t="shared" si="2"/>
        <v>0.52500000000000002</v>
      </c>
      <c r="K7" s="92"/>
      <c r="N7" s="88">
        <v>3</v>
      </c>
      <c r="O7" s="92">
        <f t="shared" si="3"/>
        <v>0</v>
      </c>
      <c r="P7" s="92">
        <f t="shared" si="4"/>
        <v>0</v>
      </c>
      <c r="Q7" s="92">
        <f t="shared" si="5"/>
        <v>0</v>
      </c>
      <c r="R7" s="92">
        <f t="shared" si="8"/>
        <v>0</v>
      </c>
      <c r="S7" s="92">
        <f t="shared" si="9"/>
        <v>210</v>
      </c>
      <c r="T7">
        <f>IF(N7-'Atsipirkimo vertinimas'!$N$20&lt;0,0,1)</f>
        <v>0</v>
      </c>
      <c r="U7">
        <f>IF(N7-'Atsipirkimo vertinimas'!$N$20&gt;=0,0,1)</f>
        <v>1</v>
      </c>
      <c r="V7" s="92"/>
      <c r="W7" s="92">
        <f t="shared" si="6"/>
        <v>0.52500000000000002</v>
      </c>
      <c r="X7" s="88"/>
    </row>
    <row r="8" spans="1:48" x14ac:dyDescent="0.25">
      <c r="C8" s="88">
        <v>4</v>
      </c>
      <c r="D8" s="92">
        <f t="shared" si="0"/>
        <v>0</v>
      </c>
      <c r="E8" s="92">
        <f t="shared" si="1"/>
        <v>0</v>
      </c>
      <c r="F8" s="92">
        <f>($G$4/('Atsipirkimo vertinimas'!$N$18*12-'Atsipirkimo vertinimas'!$N$20)*H8)</f>
        <v>0</v>
      </c>
      <c r="G8" s="92">
        <f t="shared" si="7"/>
        <v>210</v>
      </c>
      <c r="H8">
        <f>IF(C8-'Atsipirkimo vertinimas'!$N$20&lt;0,0,1)</f>
        <v>0</v>
      </c>
      <c r="I8" s="92"/>
      <c r="J8" s="92">
        <f t="shared" si="2"/>
        <v>0.52500000000000002</v>
      </c>
      <c r="K8" s="92"/>
      <c r="N8" s="88">
        <v>4</v>
      </c>
      <c r="O8" s="92">
        <f t="shared" si="3"/>
        <v>0</v>
      </c>
      <c r="P8" s="92">
        <f t="shared" si="4"/>
        <v>0</v>
      </c>
      <c r="Q8" s="92">
        <f t="shared" si="5"/>
        <v>0</v>
      </c>
      <c r="R8" s="92">
        <f t="shared" si="8"/>
        <v>0</v>
      </c>
      <c r="S8" s="92">
        <f t="shared" si="9"/>
        <v>210</v>
      </c>
      <c r="T8">
        <f>IF(N8-'Atsipirkimo vertinimas'!$N$20&lt;0,0,1)</f>
        <v>0</v>
      </c>
      <c r="U8">
        <f>IF(N8-'Atsipirkimo vertinimas'!$N$20&gt;=0,0,1)</f>
        <v>1</v>
      </c>
      <c r="V8" s="92"/>
      <c r="W8" s="92">
        <f t="shared" si="6"/>
        <v>0.52500000000000002</v>
      </c>
      <c r="X8" s="88"/>
    </row>
    <row r="9" spans="1:48" x14ac:dyDescent="0.25">
      <c r="C9" s="88">
        <v>5</v>
      </c>
      <c r="D9" s="92">
        <f t="shared" si="0"/>
        <v>0</v>
      </c>
      <c r="E9" s="92">
        <f t="shared" si="1"/>
        <v>0</v>
      </c>
      <c r="F9" s="92">
        <f>($G$4/('Atsipirkimo vertinimas'!$N$18*12-'Atsipirkimo vertinimas'!$N$20)*H9)</f>
        <v>0</v>
      </c>
      <c r="G9" s="92">
        <f t="shared" si="7"/>
        <v>210</v>
      </c>
      <c r="H9">
        <f>IF(C9-'Atsipirkimo vertinimas'!$N$20&lt;0,0,1)</f>
        <v>0</v>
      </c>
      <c r="I9" s="92"/>
      <c r="J9" s="92">
        <f t="shared" si="2"/>
        <v>0.52500000000000002</v>
      </c>
      <c r="K9" s="92"/>
      <c r="N9" s="88">
        <v>5</v>
      </c>
      <c r="O9" s="92">
        <f t="shared" si="3"/>
        <v>0</v>
      </c>
      <c r="P9" s="92">
        <f t="shared" si="4"/>
        <v>0</v>
      </c>
      <c r="Q9" s="92">
        <f t="shared" si="5"/>
        <v>0</v>
      </c>
      <c r="R9" s="92">
        <f t="shared" si="8"/>
        <v>0</v>
      </c>
      <c r="S9" s="92">
        <f t="shared" si="9"/>
        <v>210</v>
      </c>
      <c r="T9">
        <f>IF(N9-'Atsipirkimo vertinimas'!$N$20&lt;0,0,1)</f>
        <v>0</v>
      </c>
      <c r="U9">
        <f>IF(N9-'Atsipirkimo vertinimas'!$N$20&gt;=0,0,1)</f>
        <v>1</v>
      </c>
      <c r="V9" s="92"/>
      <c r="W9" s="92">
        <f t="shared" si="6"/>
        <v>0.52500000000000002</v>
      </c>
      <c r="X9" s="88"/>
    </row>
    <row r="10" spans="1:48" x14ac:dyDescent="0.25">
      <c r="C10" s="88">
        <v>6</v>
      </c>
      <c r="D10" s="92">
        <f t="shared" si="0"/>
        <v>0</v>
      </c>
      <c r="E10" s="92">
        <f t="shared" si="1"/>
        <v>0</v>
      </c>
      <c r="F10" s="92">
        <f>($G$4/('Atsipirkimo vertinimas'!$N$18*12-'Atsipirkimo vertinimas'!$N$20)*H10)</f>
        <v>0</v>
      </c>
      <c r="G10" s="92">
        <f t="shared" si="7"/>
        <v>210</v>
      </c>
      <c r="H10">
        <f>IF(C10-'Atsipirkimo vertinimas'!$N$20&lt;0,0,1)</f>
        <v>0</v>
      </c>
      <c r="I10" s="92"/>
      <c r="J10" s="92">
        <f t="shared" si="2"/>
        <v>0.52500000000000002</v>
      </c>
      <c r="K10" s="92"/>
      <c r="N10" s="88">
        <v>6</v>
      </c>
      <c r="O10" s="92">
        <f t="shared" si="3"/>
        <v>0</v>
      </c>
      <c r="P10" s="92">
        <f t="shared" si="4"/>
        <v>0</v>
      </c>
      <c r="Q10" s="92">
        <f t="shared" si="5"/>
        <v>0</v>
      </c>
      <c r="R10" s="92">
        <f t="shared" si="8"/>
        <v>0</v>
      </c>
      <c r="S10" s="92">
        <f t="shared" si="9"/>
        <v>210</v>
      </c>
      <c r="T10">
        <f>IF(N10-'Atsipirkimo vertinimas'!$N$20&lt;0,0,1)</f>
        <v>0</v>
      </c>
      <c r="U10">
        <f>IF(N10-'Atsipirkimo vertinimas'!$N$20&gt;=0,0,1)</f>
        <v>1</v>
      </c>
      <c r="V10" s="92"/>
      <c r="W10" s="92">
        <f t="shared" si="6"/>
        <v>0.52500000000000002</v>
      </c>
      <c r="X10" s="88"/>
    </row>
    <row r="11" spans="1:48" x14ac:dyDescent="0.25">
      <c r="C11" s="88">
        <v>7</v>
      </c>
      <c r="D11" s="92">
        <f t="shared" si="0"/>
        <v>0</v>
      </c>
      <c r="E11" s="92">
        <f t="shared" si="1"/>
        <v>0</v>
      </c>
      <c r="F11" s="92">
        <f>($G$4/('Atsipirkimo vertinimas'!$N$18*12-'Atsipirkimo vertinimas'!$N$20)*H11)</f>
        <v>0</v>
      </c>
      <c r="G11" s="92">
        <f t="shared" si="7"/>
        <v>210</v>
      </c>
      <c r="H11">
        <f>IF(C11-'Atsipirkimo vertinimas'!$N$20&lt;0,0,1)</f>
        <v>0</v>
      </c>
      <c r="I11" s="92"/>
      <c r="J11" s="92">
        <f t="shared" si="2"/>
        <v>0.52500000000000002</v>
      </c>
      <c r="K11" s="92"/>
      <c r="N11" s="88">
        <v>7</v>
      </c>
      <c r="O11" s="92">
        <f t="shared" si="3"/>
        <v>0</v>
      </c>
      <c r="P11" s="92">
        <f t="shared" si="4"/>
        <v>0</v>
      </c>
      <c r="Q11" s="92">
        <f t="shared" si="5"/>
        <v>0</v>
      </c>
      <c r="R11" s="92">
        <f t="shared" si="8"/>
        <v>0</v>
      </c>
      <c r="S11" s="92">
        <f t="shared" si="9"/>
        <v>210</v>
      </c>
      <c r="T11">
        <f>IF(N11-'Atsipirkimo vertinimas'!$N$20&lt;0,0,1)</f>
        <v>0</v>
      </c>
      <c r="U11">
        <f>IF(N11-'Atsipirkimo vertinimas'!$N$20&gt;=0,0,1)</f>
        <v>1</v>
      </c>
      <c r="V11" s="92"/>
      <c r="W11" s="92">
        <f t="shared" si="6"/>
        <v>0.52500000000000002</v>
      </c>
      <c r="X11" s="88"/>
    </row>
    <row r="12" spans="1:48" x14ac:dyDescent="0.25">
      <c r="C12" s="88">
        <v>8</v>
      </c>
      <c r="D12" s="92">
        <f t="shared" si="0"/>
        <v>0</v>
      </c>
      <c r="E12" s="92">
        <f t="shared" si="1"/>
        <v>0</v>
      </c>
      <c r="F12" s="92">
        <f>($G$4/('Atsipirkimo vertinimas'!$N$18*12-'Atsipirkimo vertinimas'!$N$20)*H12)</f>
        <v>0</v>
      </c>
      <c r="G12" s="92">
        <f t="shared" si="7"/>
        <v>210</v>
      </c>
      <c r="H12">
        <f>IF(C12-'Atsipirkimo vertinimas'!$N$20&lt;0,0,1)</f>
        <v>0</v>
      </c>
      <c r="I12" s="92"/>
      <c r="J12" s="92">
        <f t="shared" si="2"/>
        <v>0.52500000000000002</v>
      </c>
      <c r="K12" s="92"/>
      <c r="N12" s="88">
        <v>8</v>
      </c>
      <c r="O12" s="92">
        <f t="shared" si="3"/>
        <v>0</v>
      </c>
      <c r="P12" s="92">
        <f t="shared" si="4"/>
        <v>0</v>
      </c>
      <c r="Q12" s="92">
        <f t="shared" si="5"/>
        <v>0</v>
      </c>
      <c r="R12" s="92">
        <f t="shared" si="8"/>
        <v>0</v>
      </c>
      <c r="S12" s="92">
        <f t="shared" si="9"/>
        <v>210</v>
      </c>
      <c r="T12">
        <f>IF(N12-'Atsipirkimo vertinimas'!$N$20&lt;0,0,1)</f>
        <v>0</v>
      </c>
      <c r="U12">
        <f>IF(N12-'Atsipirkimo vertinimas'!$N$20&gt;=0,0,1)</f>
        <v>1</v>
      </c>
      <c r="V12" s="92"/>
      <c r="W12" s="92">
        <f t="shared" si="6"/>
        <v>0.52500000000000002</v>
      </c>
      <c r="X12" s="88"/>
    </row>
    <row r="13" spans="1:48" x14ac:dyDescent="0.25">
      <c r="C13" s="88">
        <v>9</v>
      </c>
      <c r="D13" s="92">
        <f t="shared" si="0"/>
        <v>0</v>
      </c>
      <c r="E13" s="92">
        <f t="shared" si="1"/>
        <v>0</v>
      </c>
      <c r="F13" s="92">
        <f>($G$4/('Atsipirkimo vertinimas'!$N$18*12-'Atsipirkimo vertinimas'!$N$20)*H13)</f>
        <v>0</v>
      </c>
      <c r="G13" s="92">
        <f t="shared" si="7"/>
        <v>210</v>
      </c>
      <c r="H13">
        <f>IF(C13-'Atsipirkimo vertinimas'!$N$20&lt;0,0,1)</f>
        <v>0</v>
      </c>
      <c r="I13" s="92"/>
      <c r="J13" s="92">
        <f t="shared" si="2"/>
        <v>0.52500000000000002</v>
      </c>
      <c r="K13" s="92"/>
      <c r="N13" s="88">
        <v>9</v>
      </c>
      <c r="O13" s="92">
        <f t="shared" si="3"/>
        <v>0</v>
      </c>
      <c r="P13" s="92">
        <f t="shared" si="4"/>
        <v>0</v>
      </c>
      <c r="Q13" s="92">
        <f t="shared" si="5"/>
        <v>0</v>
      </c>
      <c r="R13" s="92">
        <f t="shared" si="8"/>
        <v>0</v>
      </c>
      <c r="S13" s="92">
        <f t="shared" si="9"/>
        <v>210</v>
      </c>
      <c r="T13">
        <f>IF(N13-'Atsipirkimo vertinimas'!$N$20&lt;0,0,1)</f>
        <v>0</v>
      </c>
      <c r="U13">
        <f>IF(N13-'Atsipirkimo vertinimas'!$N$20&gt;=0,0,1)</f>
        <v>1</v>
      </c>
      <c r="V13" s="92"/>
      <c r="W13" s="92">
        <f t="shared" si="6"/>
        <v>0.52500000000000002</v>
      </c>
      <c r="X13" s="88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</row>
    <row r="14" spans="1:48" x14ac:dyDescent="0.25">
      <c r="C14" s="88">
        <v>10</v>
      </c>
      <c r="D14" s="92">
        <f t="shared" si="0"/>
        <v>0</v>
      </c>
      <c r="E14" s="92">
        <f t="shared" si="1"/>
        <v>0</v>
      </c>
      <c r="F14" s="92">
        <f>($G$4/('Atsipirkimo vertinimas'!$N$18*12-'Atsipirkimo vertinimas'!$N$20)*H14)</f>
        <v>0</v>
      </c>
      <c r="G14" s="92">
        <f t="shared" si="7"/>
        <v>210</v>
      </c>
      <c r="H14">
        <f>IF(C14-'Atsipirkimo vertinimas'!$N$20&lt;0,0,1)</f>
        <v>0</v>
      </c>
      <c r="I14" s="92"/>
      <c r="J14" s="92">
        <f t="shared" si="2"/>
        <v>0.52500000000000002</v>
      </c>
      <c r="K14" s="92"/>
      <c r="L14" s="60"/>
      <c r="N14" s="88">
        <v>10</v>
      </c>
      <c r="O14" s="92">
        <f t="shared" si="3"/>
        <v>0</v>
      </c>
      <c r="P14" s="92">
        <f t="shared" si="4"/>
        <v>0</v>
      </c>
      <c r="Q14" s="92">
        <f t="shared" si="5"/>
        <v>0</v>
      </c>
      <c r="R14" s="92">
        <f t="shared" si="8"/>
        <v>0</v>
      </c>
      <c r="S14" s="92">
        <f t="shared" si="9"/>
        <v>210</v>
      </c>
      <c r="T14">
        <f>IF(N14-'Atsipirkimo vertinimas'!$N$20&lt;0,0,1)</f>
        <v>0</v>
      </c>
      <c r="U14">
        <f>IF(N14-'Atsipirkimo vertinimas'!$N$20&gt;=0,0,1)</f>
        <v>1</v>
      </c>
      <c r="V14" s="92"/>
      <c r="W14" s="92">
        <f t="shared" si="6"/>
        <v>0.52500000000000002</v>
      </c>
      <c r="X14" s="88"/>
      <c r="AA14">
        <v>1</v>
      </c>
      <c r="AB14" s="96">
        <f>IF('Atsipirkimo vertinimas'!$N$21=$AB$4,X15,L15)</f>
        <v>0</v>
      </c>
    </row>
    <row r="15" spans="1:48" x14ac:dyDescent="0.25">
      <c r="C15" s="88">
        <v>11</v>
      </c>
      <c r="D15" s="92">
        <f t="shared" si="0"/>
        <v>0</v>
      </c>
      <c r="E15" s="92">
        <f t="shared" si="1"/>
        <v>0</v>
      </c>
      <c r="F15" s="92">
        <f>($G$4/('Atsipirkimo vertinimas'!$N$18*12-'Atsipirkimo vertinimas'!$N$20)*H15)</f>
        <v>0</v>
      </c>
      <c r="G15" s="92">
        <f t="shared" si="7"/>
        <v>210</v>
      </c>
      <c r="H15">
        <f>IF(C15-'Atsipirkimo vertinimas'!$N$20&lt;0,0,1)</f>
        <v>0</v>
      </c>
      <c r="I15" s="92"/>
      <c r="J15" s="92">
        <f t="shared" si="2"/>
        <v>0.52500000000000002</v>
      </c>
      <c r="K15" s="92"/>
      <c r="L15" s="91">
        <f>IF('Atsipirkimo vertinimas'!$N$18*12&gt;Grafikas!C15,SUM(D4:D15),0)</f>
        <v>0</v>
      </c>
      <c r="N15" s="88">
        <v>11</v>
      </c>
      <c r="O15" s="92">
        <f t="shared" si="3"/>
        <v>0</v>
      </c>
      <c r="P15" s="92">
        <f t="shared" si="4"/>
        <v>0</v>
      </c>
      <c r="Q15" s="92">
        <f t="shared" si="5"/>
        <v>0</v>
      </c>
      <c r="R15" s="92">
        <f t="shared" si="8"/>
        <v>0</v>
      </c>
      <c r="S15" s="92">
        <f t="shared" si="9"/>
        <v>210</v>
      </c>
      <c r="T15">
        <f>IF(N15-'Atsipirkimo vertinimas'!$N$20&lt;0,0,1)</f>
        <v>0</v>
      </c>
      <c r="U15">
        <f>IF(N15-'Atsipirkimo vertinimas'!$N$20&gt;=0,0,1)</f>
        <v>1</v>
      </c>
      <c r="V15" s="92"/>
      <c r="W15" s="92">
        <f t="shared" si="6"/>
        <v>0.52500000000000002</v>
      </c>
      <c r="X15" s="91">
        <f>IF('Atsipirkimo vertinimas'!$N$18*12&gt;Grafikas!C15,SUM(O4:O15),0)</f>
        <v>0</v>
      </c>
      <c r="AA15">
        <v>2</v>
      </c>
      <c r="AB15" s="96">
        <f>IF('Atsipirkimo vertinimas'!$N$21=$AB$4,X27,L27)</f>
        <v>0</v>
      </c>
    </row>
    <row r="16" spans="1:48" x14ac:dyDescent="0.25">
      <c r="C16" s="88">
        <v>12</v>
      </c>
      <c r="D16" s="92">
        <f t="shared" si="0"/>
        <v>0</v>
      </c>
      <c r="E16" s="92">
        <f t="shared" si="1"/>
        <v>0</v>
      </c>
      <c r="F16" s="92">
        <f>($G$4/('Atsipirkimo vertinimas'!$N$18*12-'Atsipirkimo vertinimas'!$N$20)*H16)</f>
        <v>0</v>
      </c>
      <c r="G16" s="92">
        <f t="shared" si="7"/>
        <v>210</v>
      </c>
      <c r="H16">
        <f>IF(C16-'Atsipirkimo vertinimas'!$N$20&lt;0,0,1)</f>
        <v>0</v>
      </c>
      <c r="I16" s="92"/>
      <c r="J16" s="92">
        <f t="shared" si="2"/>
        <v>0.52500000000000002</v>
      </c>
      <c r="K16" s="92"/>
      <c r="L16" s="88"/>
      <c r="N16" s="88">
        <v>12</v>
      </c>
      <c r="O16" s="92">
        <f t="shared" si="3"/>
        <v>0</v>
      </c>
      <c r="P16" s="92">
        <f t="shared" si="4"/>
        <v>0</v>
      </c>
      <c r="Q16" s="92">
        <f t="shared" si="5"/>
        <v>0</v>
      </c>
      <c r="R16" s="92">
        <f t="shared" si="8"/>
        <v>0</v>
      </c>
      <c r="S16" s="92">
        <f t="shared" si="9"/>
        <v>210</v>
      </c>
      <c r="T16">
        <f>IF(N16-'Atsipirkimo vertinimas'!$N$20&lt;0,0,1)</f>
        <v>0</v>
      </c>
      <c r="U16">
        <f>IF(N16-'Atsipirkimo vertinimas'!$N$20&gt;=0,0,1)</f>
        <v>1</v>
      </c>
      <c r="V16" s="92"/>
      <c r="W16" s="92">
        <f t="shared" si="6"/>
        <v>0.52500000000000002</v>
      </c>
      <c r="X16" s="88"/>
      <c r="AA16">
        <v>3</v>
      </c>
      <c r="AB16" s="96">
        <f>IF('Atsipirkimo vertinimas'!$N$21=$AB$4,X39,L39)</f>
        <v>15.81302692524674</v>
      </c>
    </row>
    <row r="17" spans="3:28" x14ac:dyDescent="0.25">
      <c r="C17" s="88">
        <v>13</v>
      </c>
      <c r="D17" s="92">
        <f t="shared" si="0"/>
        <v>0</v>
      </c>
      <c r="E17" s="92">
        <f t="shared" si="1"/>
        <v>0</v>
      </c>
      <c r="F17" s="92">
        <f>($G$4/('Atsipirkimo vertinimas'!$N$18*12-'Atsipirkimo vertinimas'!$N$20)*H17)</f>
        <v>0</v>
      </c>
      <c r="G17" s="92">
        <f t="shared" si="7"/>
        <v>210</v>
      </c>
      <c r="H17">
        <f>IF(C17-'Atsipirkimo vertinimas'!$N$20&lt;0,0,1)</f>
        <v>0</v>
      </c>
      <c r="I17" s="92"/>
      <c r="J17" s="92">
        <f t="shared" si="2"/>
        <v>0.52500000000000002</v>
      </c>
      <c r="K17" s="92"/>
      <c r="L17" s="88"/>
      <c r="N17" s="88">
        <v>13</v>
      </c>
      <c r="O17" s="92">
        <f t="shared" si="3"/>
        <v>0</v>
      </c>
      <c r="P17" s="92">
        <f t="shared" si="4"/>
        <v>0</v>
      </c>
      <c r="Q17" s="92">
        <f t="shared" si="5"/>
        <v>0</v>
      </c>
      <c r="R17" s="92">
        <f t="shared" si="8"/>
        <v>0</v>
      </c>
      <c r="S17" s="92">
        <f t="shared" si="9"/>
        <v>210</v>
      </c>
      <c r="T17">
        <f>IF(N17-'Atsipirkimo vertinimas'!$N$20&lt;0,0,1)</f>
        <v>0</v>
      </c>
      <c r="U17">
        <f>IF(N17-'Atsipirkimo vertinimas'!$N$20&gt;=0,0,1)</f>
        <v>1</v>
      </c>
      <c r="V17" s="92"/>
      <c r="W17" s="92">
        <f t="shared" si="6"/>
        <v>0.52500000000000002</v>
      </c>
      <c r="X17" s="88"/>
      <c r="AA17">
        <v>4</v>
      </c>
      <c r="AB17" s="96">
        <f>IF('Atsipirkimo vertinimas'!$N$21=$AB$4,X51,L51)</f>
        <v>15.81302692524674</v>
      </c>
    </row>
    <row r="18" spans="3:28" x14ac:dyDescent="0.25">
      <c r="C18" s="88">
        <v>14</v>
      </c>
      <c r="D18" s="92">
        <f t="shared" si="0"/>
        <v>0</v>
      </c>
      <c r="E18" s="92">
        <f t="shared" si="1"/>
        <v>0</v>
      </c>
      <c r="F18" s="92">
        <f>($G$4/('Atsipirkimo vertinimas'!$N$18*12-'Atsipirkimo vertinimas'!$N$20)*H18)</f>
        <v>0</v>
      </c>
      <c r="G18" s="92">
        <f t="shared" si="7"/>
        <v>210</v>
      </c>
      <c r="H18">
        <f>IF(C18-'Atsipirkimo vertinimas'!$N$20&lt;0,0,1)</f>
        <v>0</v>
      </c>
      <c r="I18" s="92"/>
      <c r="J18" s="92">
        <f t="shared" si="2"/>
        <v>0.52500000000000002</v>
      </c>
      <c r="K18" s="92"/>
      <c r="L18" s="88"/>
      <c r="N18" s="88">
        <v>14</v>
      </c>
      <c r="O18" s="92">
        <f t="shared" si="3"/>
        <v>0</v>
      </c>
      <c r="P18" s="92">
        <f t="shared" si="4"/>
        <v>0</v>
      </c>
      <c r="Q18" s="92">
        <f t="shared" si="5"/>
        <v>0</v>
      </c>
      <c r="R18" s="92">
        <f t="shared" si="8"/>
        <v>0</v>
      </c>
      <c r="S18" s="92">
        <f t="shared" si="9"/>
        <v>210</v>
      </c>
      <c r="T18">
        <f>IF(N18-'Atsipirkimo vertinimas'!$N$20&lt;0,0,1)</f>
        <v>0</v>
      </c>
      <c r="U18">
        <f>IF(N18-'Atsipirkimo vertinimas'!$N$20&gt;=0,0,1)</f>
        <v>1</v>
      </c>
      <c r="V18" s="92"/>
      <c r="W18" s="92">
        <f t="shared" si="6"/>
        <v>0.52500000000000002</v>
      </c>
      <c r="X18" s="88"/>
      <c r="AA18">
        <v>5</v>
      </c>
      <c r="AB18" s="96">
        <f>IF('Atsipirkimo vertinimas'!$N$21=$AB$4,X63,L63)</f>
        <v>15.81302692524674</v>
      </c>
    </row>
    <row r="19" spans="3:28" x14ac:dyDescent="0.25">
      <c r="C19" s="88">
        <v>15</v>
      </c>
      <c r="D19" s="92">
        <f t="shared" si="0"/>
        <v>0</v>
      </c>
      <c r="E19" s="92">
        <f t="shared" si="1"/>
        <v>0</v>
      </c>
      <c r="F19" s="92">
        <f>($G$4/('Atsipirkimo vertinimas'!$N$18*12-'Atsipirkimo vertinimas'!$N$20)*H19)</f>
        <v>0</v>
      </c>
      <c r="G19" s="92">
        <f t="shared" si="7"/>
        <v>210</v>
      </c>
      <c r="H19">
        <f>IF(C19-'Atsipirkimo vertinimas'!$N$20&lt;0,0,1)</f>
        <v>0</v>
      </c>
      <c r="I19" s="92"/>
      <c r="J19" s="92">
        <f t="shared" si="2"/>
        <v>0.52500000000000002</v>
      </c>
      <c r="K19" s="92"/>
      <c r="L19" s="88"/>
      <c r="N19" s="88">
        <v>15</v>
      </c>
      <c r="O19" s="92">
        <f t="shared" si="3"/>
        <v>0</v>
      </c>
      <c r="P19" s="92">
        <f t="shared" si="4"/>
        <v>0</v>
      </c>
      <c r="Q19" s="92">
        <f t="shared" si="5"/>
        <v>0</v>
      </c>
      <c r="R19" s="92">
        <f t="shared" si="8"/>
        <v>0</v>
      </c>
      <c r="S19" s="92">
        <f t="shared" si="9"/>
        <v>210</v>
      </c>
      <c r="T19">
        <f>IF(N19-'Atsipirkimo vertinimas'!$N$20&lt;0,0,1)</f>
        <v>0</v>
      </c>
      <c r="U19">
        <f>IF(N19-'Atsipirkimo vertinimas'!$N$20&gt;=0,0,1)</f>
        <v>1</v>
      </c>
      <c r="V19" s="92"/>
      <c r="W19" s="92">
        <f t="shared" si="6"/>
        <v>0.52500000000000002</v>
      </c>
      <c r="X19" s="88"/>
      <c r="AA19">
        <v>6</v>
      </c>
      <c r="AB19" s="96">
        <f>IF('Atsipirkimo vertinimas'!$N$21=$AB$4,X75,L75)</f>
        <v>17.892328715125725</v>
      </c>
    </row>
    <row r="20" spans="3:28" x14ac:dyDescent="0.25">
      <c r="C20" s="88">
        <v>16</v>
      </c>
      <c r="D20" s="92">
        <f t="shared" si="0"/>
        <v>0</v>
      </c>
      <c r="E20" s="92">
        <f t="shared" si="1"/>
        <v>0</v>
      </c>
      <c r="F20" s="92">
        <f>($G$4/('Atsipirkimo vertinimas'!$N$18*12-'Atsipirkimo vertinimas'!$N$20)*H20)</f>
        <v>0</v>
      </c>
      <c r="G20" s="92">
        <f t="shared" si="7"/>
        <v>210</v>
      </c>
      <c r="H20">
        <f>IF(C20-'Atsipirkimo vertinimas'!$N$20&lt;0,0,1)</f>
        <v>0</v>
      </c>
      <c r="I20" s="92"/>
      <c r="J20" s="92">
        <f t="shared" si="2"/>
        <v>0.52500000000000002</v>
      </c>
      <c r="K20" s="92"/>
      <c r="L20" s="88"/>
      <c r="N20" s="88">
        <v>16</v>
      </c>
      <c r="O20" s="92">
        <f t="shared" si="3"/>
        <v>0</v>
      </c>
      <c r="P20" s="92">
        <f t="shared" si="4"/>
        <v>0</v>
      </c>
      <c r="Q20" s="92">
        <f t="shared" si="5"/>
        <v>0</v>
      </c>
      <c r="R20" s="92">
        <f t="shared" si="8"/>
        <v>0</v>
      </c>
      <c r="S20" s="92">
        <f t="shared" si="9"/>
        <v>210</v>
      </c>
      <c r="T20">
        <f>IF(N20-'Atsipirkimo vertinimas'!$N$20&lt;0,0,1)</f>
        <v>0</v>
      </c>
      <c r="U20">
        <f>IF(N20-'Atsipirkimo vertinimas'!$N$20&gt;=0,0,1)</f>
        <v>1</v>
      </c>
      <c r="V20" s="92"/>
      <c r="W20" s="92">
        <f t="shared" si="6"/>
        <v>0.52500000000000002</v>
      </c>
      <c r="X20" s="88"/>
      <c r="AA20">
        <v>7</v>
      </c>
      <c r="AB20" s="96">
        <f>IF('Atsipirkimo vertinimas'!$N$21=$AB$4,X87,L87)</f>
        <v>17.892328715125725</v>
      </c>
    </row>
    <row r="21" spans="3:28" x14ac:dyDescent="0.25">
      <c r="C21" s="88">
        <v>17</v>
      </c>
      <c r="D21" s="92">
        <f t="shared" si="0"/>
        <v>0</v>
      </c>
      <c r="E21" s="92">
        <f t="shared" si="1"/>
        <v>0</v>
      </c>
      <c r="F21" s="92">
        <f>($G$4/('Atsipirkimo vertinimas'!$N$18*12-'Atsipirkimo vertinimas'!$N$20)*H21)</f>
        <v>0</v>
      </c>
      <c r="G21" s="92">
        <f t="shared" si="7"/>
        <v>210</v>
      </c>
      <c r="H21">
        <f>IF(C21-'Atsipirkimo vertinimas'!$N$20&lt;0,0,1)</f>
        <v>0</v>
      </c>
      <c r="I21" s="92"/>
      <c r="J21" s="92">
        <f t="shared" si="2"/>
        <v>0.52500000000000002</v>
      </c>
      <c r="K21" s="92"/>
      <c r="L21" s="88"/>
      <c r="N21" s="88">
        <v>17</v>
      </c>
      <c r="O21" s="92">
        <f t="shared" si="3"/>
        <v>0</v>
      </c>
      <c r="P21" s="92">
        <f t="shared" si="4"/>
        <v>0</v>
      </c>
      <c r="Q21" s="92">
        <f t="shared" si="5"/>
        <v>0</v>
      </c>
      <c r="R21" s="92">
        <f t="shared" si="8"/>
        <v>0</v>
      </c>
      <c r="S21" s="92">
        <f t="shared" si="9"/>
        <v>210</v>
      </c>
      <c r="T21">
        <f>IF(N21-'Atsipirkimo vertinimas'!$N$20&lt;0,0,1)</f>
        <v>0</v>
      </c>
      <c r="U21">
        <f>IF(N21-'Atsipirkimo vertinimas'!$N$20&gt;=0,0,1)</f>
        <v>1</v>
      </c>
      <c r="V21" s="92"/>
      <c r="W21" s="92">
        <f t="shared" si="6"/>
        <v>0.52500000000000002</v>
      </c>
      <c r="X21" s="88"/>
      <c r="AA21">
        <v>8</v>
      </c>
      <c r="AB21" s="96">
        <f>IF('Atsipirkimo vertinimas'!$N$21=$AB$4,X99,L99)</f>
        <v>17.892328715125725</v>
      </c>
    </row>
    <row r="22" spans="3:28" x14ac:dyDescent="0.25">
      <c r="C22" s="88">
        <v>18</v>
      </c>
      <c r="D22" s="92">
        <f t="shared" si="0"/>
        <v>0</v>
      </c>
      <c r="E22" s="92">
        <f t="shared" si="1"/>
        <v>0</v>
      </c>
      <c r="F22" s="92">
        <f>($G$4/('Atsipirkimo vertinimas'!$N$18*12-'Atsipirkimo vertinimas'!$N$20)*H22)</f>
        <v>0</v>
      </c>
      <c r="G22" s="92">
        <f t="shared" si="7"/>
        <v>210</v>
      </c>
      <c r="H22">
        <f>IF(C22-'Atsipirkimo vertinimas'!$N$20&lt;0,0,1)</f>
        <v>0</v>
      </c>
      <c r="I22" s="92"/>
      <c r="J22" s="92">
        <f t="shared" si="2"/>
        <v>0.52500000000000002</v>
      </c>
      <c r="K22" s="92"/>
      <c r="L22" s="88"/>
      <c r="N22" s="88">
        <v>18</v>
      </c>
      <c r="O22" s="92">
        <f t="shared" si="3"/>
        <v>0</v>
      </c>
      <c r="P22" s="92">
        <f t="shared" si="4"/>
        <v>0</v>
      </c>
      <c r="Q22" s="92">
        <f t="shared" si="5"/>
        <v>0</v>
      </c>
      <c r="R22" s="92">
        <f t="shared" si="8"/>
        <v>0</v>
      </c>
      <c r="S22" s="92">
        <f t="shared" si="9"/>
        <v>210</v>
      </c>
      <c r="T22">
        <f>IF(N22-'Atsipirkimo vertinimas'!$N$20&lt;0,0,1)</f>
        <v>0</v>
      </c>
      <c r="U22">
        <f>IF(N22-'Atsipirkimo vertinimas'!$N$20&gt;=0,0,1)</f>
        <v>1</v>
      </c>
      <c r="V22" s="92"/>
      <c r="W22" s="92">
        <f t="shared" si="6"/>
        <v>0.52500000000000002</v>
      </c>
      <c r="X22" s="88"/>
      <c r="AA22">
        <v>9</v>
      </c>
      <c r="AB22" s="96">
        <f>IF('Atsipirkimo vertinimas'!$N$21=$AB$4,X111,L111)</f>
        <v>17.892328715125725</v>
      </c>
    </row>
    <row r="23" spans="3:28" x14ac:dyDescent="0.25">
      <c r="C23" s="88">
        <v>19</v>
      </c>
      <c r="D23" s="92">
        <f t="shared" si="0"/>
        <v>0</v>
      </c>
      <c r="E23" s="92">
        <f t="shared" si="1"/>
        <v>0</v>
      </c>
      <c r="F23" s="92">
        <f>($G$4/('Atsipirkimo vertinimas'!$N$18*12-'Atsipirkimo vertinimas'!$N$20)*H23)</f>
        <v>0</v>
      </c>
      <c r="G23" s="92">
        <f t="shared" si="7"/>
        <v>210</v>
      </c>
      <c r="H23">
        <f>IF(C23-'Atsipirkimo vertinimas'!$N$20&lt;0,0,1)</f>
        <v>0</v>
      </c>
      <c r="I23" s="92"/>
      <c r="J23" s="92">
        <f t="shared" si="2"/>
        <v>0.52500000000000002</v>
      </c>
      <c r="K23" s="92"/>
      <c r="L23" s="88"/>
      <c r="N23" s="88">
        <v>19</v>
      </c>
      <c r="O23" s="92">
        <f t="shared" si="3"/>
        <v>0</v>
      </c>
      <c r="P23" s="92">
        <f t="shared" si="4"/>
        <v>0</v>
      </c>
      <c r="Q23" s="92">
        <f t="shared" si="5"/>
        <v>0</v>
      </c>
      <c r="R23" s="92">
        <f t="shared" si="8"/>
        <v>0</v>
      </c>
      <c r="S23" s="92">
        <f t="shared" si="9"/>
        <v>210</v>
      </c>
      <c r="T23">
        <f>IF(N23-'Atsipirkimo vertinimas'!$N$20&lt;0,0,1)</f>
        <v>0</v>
      </c>
      <c r="U23">
        <f>IF(N23-'Atsipirkimo vertinimas'!$N$20&gt;=0,0,1)</f>
        <v>1</v>
      </c>
      <c r="V23" s="92"/>
      <c r="W23" s="92">
        <f t="shared" si="6"/>
        <v>0.52500000000000002</v>
      </c>
      <c r="X23" s="88"/>
      <c r="AA23">
        <v>10</v>
      </c>
      <c r="AB23" s="96">
        <f>IF('Atsipirkimo vertinimas'!$N$21=$AB$4,X123,L123)</f>
        <v>17.892328715125725</v>
      </c>
    </row>
    <row r="24" spans="3:28" x14ac:dyDescent="0.25">
      <c r="C24" s="88">
        <v>20</v>
      </c>
      <c r="D24" s="92">
        <f t="shared" si="0"/>
        <v>0</v>
      </c>
      <c r="E24" s="92">
        <f t="shared" si="1"/>
        <v>0</v>
      </c>
      <c r="F24" s="92">
        <f>($G$4/('Atsipirkimo vertinimas'!$N$18*12-'Atsipirkimo vertinimas'!$N$20)*H24)</f>
        <v>0</v>
      </c>
      <c r="G24" s="92">
        <f t="shared" si="7"/>
        <v>210</v>
      </c>
      <c r="H24">
        <f>IF(C24-'Atsipirkimo vertinimas'!$N$20&lt;0,0,1)</f>
        <v>0</v>
      </c>
      <c r="I24" s="92"/>
      <c r="J24" s="92">
        <f t="shared" si="2"/>
        <v>0.52500000000000002</v>
      </c>
      <c r="K24" s="92"/>
      <c r="L24" s="88"/>
      <c r="N24" s="88">
        <v>20</v>
      </c>
      <c r="O24" s="92">
        <f t="shared" si="3"/>
        <v>0</v>
      </c>
      <c r="P24" s="92">
        <f t="shared" si="4"/>
        <v>0</v>
      </c>
      <c r="Q24" s="92">
        <f t="shared" si="5"/>
        <v>0</v>
      </c>
      <c r="R24" s="92">
        <f t="shared" si="8"/>
        <v>0</v>
      </c>
      <c r="S24" s="92">
        <f t="shared" si="9"/>
        <v>210</v>
      </c>
      <c r="T24">
        <f>IF(N24-'Atsipirkimo vertinimas'!$N$20&lt;0,0,1)</f>
        <v>0</v>
      </c>
      <c r="U24">
        <f>IF(N24-'Atsipirkimo vertinimas'!$N$20&gt;=0,0,1)</f>
        <v>1</v>
      </c>
      <c r="V24" s="92"/>
      <c r="W24" s="92">
        <f t="shared" si="6"/>
        <v>0.52500000000000002</v>
      </c>
      <c r="X24" s="88"/>
      <c r="AA24">
        <v>11</v>
      </c>
      <c r="AB24" s="96">
        <f>IF('Atsipirkimo vertinimas'!$N$21=$AB$4,X135,L135)</f>
        <v>17.892328715125725</v>
      </c>
    </row>
    <row r="25" spans="3:28" x14ac:dyDescent="0.25">
      <c r="C25" s="88">
        <v>21</v>
      </c>
      <c r="D25" s="92">
        <f t="shared" si="0"/>
        <v>0</v>
      </c>
      <c r="E25" s="92">
        <f t="shared" si="1"/>
        <v>0</v>
      </c>
      <c r="F25" s="92">
        <f>($G$4/('Atsipirkimo vertinimas'!$N$18*12-'Atsipirkimo vertinimas'!$N$20)*H25)</f>
        <v>0</v>
      </c>
      <c r="G25" s="92">
        <f t="shared" si="7"/>
        <v>210</v>
      </c>
      <c r="H25">
        <f>IF(C25-'Atsipirkimo vertinimas'!$N$20&lt;0,0,1)</f>
        <v>0</v>
      </c>
      <c r="I25" s="92"/>
      <c r="J25" s="92">
        <f t="shared" si="2"/>
        <v>0.52500000000000002</v>
      </c>
      <c r="K25" s="92"/>
      <c r="L25" s="88"/>
      <c r="N25" s="88">
        <v>21</v>
      </c>
      <c r="O25" s="92">
        <f t="shared" si="3"/>
        <v>0</v>
      </c>
      <c r="P25" s="92">
        <f t="shared" si="4"/>
        <v>0</v>
      </c>
      <c r="Q25" s="92">
        <f t="shared" si="5"/>
        <v>0</v>
      </c>
      <c r="R25" s="92">
        <f t="shared" si="8"/>
        <v>0</v>
      </c>
      <c r="S25" s="92">
        <f t="shared" si="9"/>
        <v>210</v>
      </c>
      <c r="T25">
        <f>IF(N25-'Atsipirkimo vertinimas'!$N$20&lt;0,0,1)</f>
        <v>0</v>
      </c>
      <c r="U25">
        <f>IF(N25-'Atsipirkimo vertinimas'!$N$20&gt;=0,0,1)</f>
        <v>1</v>
      </c>
      <c r="V25" s="92"/>
      <c r="W25" s="92">
        <f t="shared" si="6"/>
        <v>0.52500000000000002</v>
      </c>
      <c r="X25" s="88"/>
      <c r="AA25">
        <v>12</v>
      </c>
      <c r="AB25" s="96">
        <f>IF('Atsipirkimo vertinimas'!$N$21=$AB$4,X147,L147)</f>
        <v>17.892328715125725</v>
      </c>
    </row>
    <row r="26" spans="3:28" x14ac:dyDescent="0.25">
      <c r="C26" s="88">
        <v>22</v>
      </c>
      <c r="D26" s="92">
        <f t="shared" si="0"/>
        <v>0</v>
      </c>
      <c r="E26" s="92">
        <f t="shared" si="1"/>
        <v>0</v>
      </c>
      <c r="F26" s="92">
        <f>($G$4/('Atsipirkimo vertinimas'!$N$18*12-'Atsipirkimo vertinimas'!$N$20)*H26)</f>
        <v>0</v>
      </c>
      <c r="G26" s="92">
        <f t="shared" si="7"/>
        <v>210</v>
      </c>
      <c r="H26">
        <f>IF(C26-'Atsipirkimo vertinimas'!$N$20&lt;0,0,1)</f>
        <v>0</v>
      </c>
      <c r="I26" s="92"/>
      <c r="J26" s="92">
        <f t="shared" si="2"/>
        <v>0.52500000000000002</v>
      </c>
      <c r="K26" s="92"/>
      <c r="L26" s="88"/>
      <c r="N26" s="88">
        <v>22</v>
      </c>
      <c r="O26" s="92">
        <f t="shared" si="3"/>
        <v>0</v>
      </c>
      <c r="P26" s="92">
        <f t="shared" si="4"/>
        <v>0</v>
      </c>
      <c r="Q26" s="92">
        <f t="shared" si="5"/>
        <v>0</v>
      </c>
      <c r="R26" s="92">
        <f t="shared" si="8"/>
        <v>0</v>
      </c>
      <c r="S26" s="92">
        <f t="shared" si="9"/>
        <v>210</v>
      </c>
      <c r="T26">
        <f>IF(N26-'Atsipirkimo vertinimas'!$N$20&lt;0,0,1)</f>
        <v>0</v>
      </c>
      <c r="U26">
        <f>IF(N26-'Atsipirkimo vertinimas'!$N$20&gt;=0,0,1)</f>
        <v>1</v>
      </c>
      <c r="V26" s="92"/>
      <c r="W26" s="92">
        <f t="shared" si="6"/>
        <v>0.52500000000000002</v>
      </c>
      <c r="X26" s="88"/>
      <c r="AA26">
        <v>13</v>
      </c>
      <c r="AB26" s="96">
        <f>IF('Atsipirkimo vertinimas'!$N$21=$AB$4,X159,L159)</f>
        <v>17.892328715125725</v>
      </c>
    </row>
    <row r="27" spans="3:28" x14ac:dyDescent="0.25">
      <c r="C27" s="88">
        <v>23</v>
      </c>
      <c r="D27" s="92">
        <f t="shared" si="0"/>
        <v>0</v>
      </c>
      <c r="E27" s="92">
        <f t="shared" si="1"/>
        <v>0</v>
      </c>
      <c r="F27" s="92">
        <f>($G$4/('Atsipirkimo vertinimas'!$N$18*12-'Atsipirkimo vertinimas'!$N$20)*H27)</f>
        <v>0</v>
      </c>
      <c r="G27" s="92">
        <f t="shared" si="7"/>
        <v>210</v>
      </c>
      <c r="H27">
        <f>IF(C27-'Atsipirkimo vertinimas'!$N$20&lt;0,0,1)</f>
        <v>0</v>
      </c>
      <c r="I27" s="92"/>
      <c r="J27" s="92">
        <f t="shared" si="2"/>
        <v>0.52500000000000002</v>
      </c>
      <c r="K27" s="92"/>
      <c r="L27" s="91">
        <f>IF('Atsipirkimo vertinimas'!$N$18*12&gt;Grafikas!C27,SUM(D16:D27),0)</f>
        <v>0</v>
      </c>
      <c r="N27" s="88">
        <v>23</v>
      </c>
      <c r="O27" s="92">
        <f t="shared" si="3"/>
        <v>0</v>
      </c>
      <c r="P27" s="92">
        <f t="shared" si="4"/>
        <v>0</v>
      </c>
      <c r="Q27" s="92">
        <f t="shared" si="5"/>
        <v>0</v>
      </c>
      <c r="R27" s="92">
        <f t="shared" si="8"/>
        <v>0</v>
      </c>
      <c r="S27" s="92">
        <f t="shared" si="9"/>
        <v>210</v>
      </c>
      <c r="T27">
        <f>IF(N27-'Atsipirkimo vertinimas'!$N$20&lt;0,0,1)</f>
        <v>0</v>
      </c>
      <c r="U27">
        <f>IF(N27-'Atsipirkimo vertinimas'!$N$20&gt;=0,0,1)</f>
        <v>1</v>
      </c>
      <c r="V27" s="92"/>
      <c r="W27" s="92">
        <f t="shared" si="6"/>
        <v>0.52500000000000002</v>
      </c>
      <c r="X27" s="91">
        <f>IF('Atsipirkimo vertinimas'!$N$18*12&gt;Grafikas!C27,SUM(O16:O27),0)</f>
        <v>0</v>
      </c>
      <c r="AA27">
        <v>14</v>
      </c>
      <c r="AB27" s="96">
        <f>IF('Atsipirkimo vertinimas'!$N$21=$AB$4,X171,L171)</f>
        <v>17.892328715125725</v>
      </c>
    </row>
    <row r="28" spans="3:28" x14ac:dyDescent="0.25">
      <c r="C28" s="88">
        <v>24</v>
      </c>
      <c r="D28" s="92">
        <f t="shared" si="0"/>
        <v>1.5555555555555556</v>
      </c>
      <c r="E28" s="92">
        <f t="shared" si="1"/>
        <v>0.52500000000000002</v>
      </c>
      <c r="F28" s="92">
        <f>($G$4/('Atsipirkimo vertinimas'!$N$18*12-'Atsipirkimo vertinimas'!$N$20)*H28)</f>
        <v>0.97222222222222221</v>
      </c>
      <c r="G28" s="92">
        <f t="shared" si="7"/>
        <v>210</v>
      </c>
      <c r="H28">
        <f>IF(C28-'Atsipirkimo vertinimas'!$N$20&lt;0,0,1)</f>
        <v>1</v>
      </c>
      <c r="I28" s="92"/>
      <c r="J28" s="92">
        <f t="shared" si="2"/>
        <v>0</v>
      </c>
      <c r="K28" s="92"/>
      <c r="L28" s="88"/>
      <c r="N28" s="88">
        <v>24</v>
      </c>
      <c r="O28" s="92">
        <f t="shared" si="3"/>
        <v>1.3177522437705618</v>
      </c>
      <c r="P28" s="92">
        <f t="shared" si="4"/>
        <v>1.2594189104372284</v>
      </c>
      <c r="Q28" s="92">
        <f t="shared" si="5"/>
        <v>0.52500000000000002</v>
      </c>
      <c r="R28" s="92">
        <f t="shared" si="8"/>
        <v>0.7344189104372284</v>
      </c>
      <c r="S28" s="92">
        <f t="shared" si="9"/>
        <v>210</v>
      </c>
      <c r="T28">
        <f>IF(N28-'Atsipirkimo vertinimas'!$N$20&lt;0,0,1)</f>
        <v>1</v>
      </c>
      <c r="U28">
        <f>IF(N28-'Atsipirkimo vertinimas'!$N$20&gt;=0,0,1)</f>
        <v>0</v>
      </c>
      <c r="V28" s="92"/>
      <c r="W28" s="92">
        <f t="shared" si="6"/>
        <v>0</v>
      </c>
      <c r="X28" s="88"/>
      <c r="AA28">
        <v>15</v>
      </c>
      <c r="AB28" s="96">
        <f>IF('Atsipirkimo vertinimas'!$N$21=$AB$4,X183,L183)</f>
        <v>17.892328715125725</v>
      </c>
    </row>
    <row r="29" spans="3:28" x14ac:dyDescent="0.25">
      <c r="C29" s="88">
        <v>25</v>
      </c>
      <c r="D29" s="92">
        <f t="shared" si="0"/>
        <v>1.5531249999999999</v>
      </c>
      <c r="E29" s="92">
        <f t="shared" si="1"/>
        <v>0.52256944444444442</v>
      </c>
      <c r="F29" s="92">
        <f>($G$4/('Atsipirkimo vertinimas'!$N$18*12-'Atsipirkimo vertinimas'!$N$20)*H29)</f>
        <v>0.97222222222222221</v>
      </c>
      <c r="G29" s="92">
        <f t="shared" si="7"/>
        <v>209.02777777777777</v>
      </c>
      <c r="H29">
        <f>IF(C29-'Atsipirkimo vertinimas'!$N$20&lt;0,0,1)</f>
        <v>1</v>
      </c>
      <c r="I29" s="92"/>
      <c r="J29" s="92">
        <f t="shared" si="2"/>
        <v>0</v>
      </c>
      <c r="K29" s="92"/>
      <c r="L29" s="88"/>
      <c r="N29" s="88">
        <v>25</v>
      </c>
      <c r="O29" s="92">
        <f t="shared" si="3"/>
        <v>1.3177522437705618</v>
      </c>
      <c r="P29" s="92">
        <f t="shared" si="4"/>
        <v>1.2594189104372284</v>
      </c>
      <c r="Q29" s="92">
        <f t="shared" si="5"/>
        <v>0.52316395272390692</v>
      </c>
      <c r="R29" s="92">
        <f t="shared" si="8"/>
        <v>0.7362549577133215</v>
      </c>
      <c r="S29" s="92">
        <f t="shared" si="9"/>
        <v>209.26558108956277</v>
      </c>
      <c r="T29">
        <f>IF(N29-'Atsipirkimo vertinimas'!$N$20&lt;0,0,1)</f>
        <v>1</v>
      </c>
      <c r="U29">
        <f>IF(N29-'Atsipirkimo vertinimas'!$N$20&gt;=0,0,1)</f>
        <v>0</v>
      </c>
      <c r="V29" s="92"/>
      <c r="W29" s="92">
        <f t="shared" si="6"/>
        <v>0</v>
      </c>
      <c r="X29" s="88"/>
      <c r="AA29">
        <v>16</v>
      </c>
      <c r="AB29" s="96">
        <f>IF('Atsipirkimo vertinimas'!$N$21=$AB$4,X195,L195)</f>
        <v>17.892328715125725</v>
      </c>
    </row>
    <row r="30" spans="3:28" x14ac:dyDescent="0.25">
      <c r="C30" s="88">
        <v>26</v>
      </c>
      <c r="D30" s="92">
        <f t="shared" si="0"/>
        <v>1.5506944444444444</v>
      </c>
      <c r="E30" s="92">
        <f t="shared" si="1"/>
        <v>0.52013888888888882</v>
      </c>
      <c r="F30" s="92">
        <f>($G$4/('Atsipirkimo vertinimas'!$N$18*12-'Atsipirkimo vertinimas'!$N$20)*H30)</f>
        <v>0.97222222222222221</v>
      </c>
      <c r="G30" s="92">
        <f t="shared" si="7"/>
        <v>208.05555555555554</v>
      </c>
      <c r="H30">
        <f>IF(C30-'Atsipirkimo vertinimas'!$N$20&lt;0,0,1)</f>
        <v>1</v>
      </c>
      <c r="I30" s="92"/>
      <c r="J30" s="92">
        <f t="shared" si="2"/>
        <v>0</v>
      </c>
      <c r="K30" s="92"/>
      <c r="L30" s="88"/>
      <c r="N30" s="88">
        <v>26</v>
      </c>
      <c r="O30" s="92">
        <f t="shared" si="3"/>
        <v>1.3177522437705618</v>
      </c>
      <c r="P30" s="92">
        <f t="shared" si="4"/>
        <v>1.2594189104372284</v>
      </c>
      <c r="Q30" s="92">
        <f t="shared" si="5"/>
        <v>0.52132331532962362</v>
      </c>
      <c r="R30" s="92">
        <f t="shared" si="8"/>
        <v>0.73809559510760481</v>
      </c>
      <c r="S30" s="92">
        <f t="shared" si="9"/>
        <v>208.52932613184944</v>
      </c>
      <c r="T30">
        <f>IF(N30-'Atsipirkimo vertinimas'!$N$20&lt;0,0,1)</f>
        <v>1</v>
      </c>
      <c r="U30">
        <f>IF(N30-'Atsipirkimo vertinimas'!$N$20&gt;=0,0,1)</f>
        <v>0</v>
      </c>
      <c r="V30" s="92"/>
      <c r="W30" s="92">
        <f t="shared" si="6"/>
        <v>0</v>
      </c>
      <c r="X30" s="88"/>
      <c r="AA30">
        <v>17</v>
      </c>
      <c r="AB30" s="96">
        <f>IF('Atsipirkimo vertinimas'!$N$21=$AB$4,X207,L207)</f>
        <v>17.892328715125725</v>
      </c>
    </row>
    <row r="31" spans="3:28" x14ac:dyDescent="0.25">
      <c r="C31" s="88">
        <v>27</v>
      </c>
      <c r="D31" s="92">
        <f t="shared" si="0"/>
        <v>1.5482638888888889</v>
      </c>
      <c r="E31" s="92">
        <f t="shared" si="1"/>
        <v>0.51770833333333333</v>
      </c>
      <c r="F31" s="92">
        <f>($G$4/('Atsipirkimo vertinimas'!$N$18*12-'Atsipirkimo vertinimas'!$N$20)*H31)</f>
        <v>0.97222222222222221</v>
      </c>
      <c r="G31" s="92">
        <f t="shared" si="7"/>
        <v>207.08333333333331</v>
      </c>
      <c r="H31">
        <f>IF(C31-'Atsipirkimo vertinimas'!$N$20&lt;0,0,1)</f>
        <v>1</v>
      </c>
      <c r="I31" s="92"/>
      <c r="J31" s="92">
        <f t="shared" si="2"/>
        <v>0</v>
      </c>
      <c r="K31" s="92"/>
      <c r="L31" s="88"/>
      <c r="N31" s="88">
        <v>27</v>
      </c>
      <c r="O31" s="92">
        <f t="shared" si="3"/>
        <v>1.3177522437705618</v>
      </c>
      <c r="P31" s="92">
        <f t="shared" si="4"/>
        <v>1.2594189104372284</v>
      </c>
      <c r="Q31" s="92">
        <f t="shared" si="5"/>
        <v>0.51947807634185461</v>
      </c>
      <c r="R31" s="92">
        <f t="shared" si="8"/>
        <v>0.73994083409537381</v>
      </c>
      <c r="S31" s="92">
        <f t="shared" si="9"/>
        <v>207.79123053674184</v>
      </c>
      <c r="T31">
        <f>IF(N31-'Atsipirkimo vertinimas'!$N$20&lt;0,0,1)</f>
        <v>1</v>
      </c>
      <c r="U31">
        <f>IF(N31-'Atsipirkimo vertinimas'!$N$20&gt;=0,0,1)</f>
        <v>0</v>
      </c>
      <c r="V31" s="92"/>
      <c r="W31" s="92">
        <f t="shared" si="6"/>
        <v>0</v>
      </c>
      <c r="X31" s="88"/>
      <c r="AA31">
        <v>18</v>
      </c>
      <c r="AB31" s="96">
        <f>IF('Atsipirkimo vertinimas'!$N$21=$AB$4,X219,L219)</f>
        <v>17.892328715125725</v>
      </c>
    </row>
    <row r="32" spans="3:28" x14ac:dyDescent="0.25">
      <c r="C32" s="88">
        <v>28</v>
      </c>
      <c r="D32" s="92">
        <f t="shared" si="0"/>
        <v>1.5458333333333332</v>
      </c>
      <c r="E32" s="92">
        <f t="shared" si="1"/>
        <v>0.51527777777777772</v>
      </c>
      <c r="F32" s="92">
        <f>($G$4/('Atsipirkimo vertinimas'!$N$18*12-'Atsipirkimo vertinimas'!$N$20)*H32)</f>
        <v>0.97222222222222221</v>
      </c>
      <c r="G32" s="92">
        <f t="shared" si="7"/>
        <v>206.11111111111109</v>
      </c>
      <c r="H32">
        <f>IF(C32-'Atsipirkimo vertinimas'!$N$20&lt;0,0,1)</f>
        <v>1</v>
      </c>
      <c r="I32" s="92"/>
      <c r="J32" s="92">
        <f t="shared" si="2"/>
        <v>0</v>
      </c>
      <c r="K32" s="92"/>
      <c r="L32" s="88"/>
      <c r="N32" s="88">
        <v>28</v>
      </c>
      <c r="O32" s="92">
        <f t="shared" si="3"/>
        <v>1.3177522437705618</v>
      </c>
      <c r="P32" s="92">
        <f t="shared" si="4"/>
        <v>1.2594189104372284</v>
      </c>
      <c r="Q32" s="92">
        <f t="shared" si="5"/>
        <v>0.51762822425661614</v>
      </c>
      <c r="R32" s="92">
        <f t="shared" si="8"/>
        <v>0.74179068618061228</v>
      </c>
      <c r="S32" s="92">
        <f t="shared" si="9"/>
        <v>207.05128970264647</v>
      </c>
      <c r="T32">
        <f>IF(N32-'Atsipirkimo vertinimas'!$N$20&lt;0,0,1)</f>
        <v>1</v>
      </c>
      <c r="U32">
        <f>IF(N32-'Atsipirkimo vertinimas'!$N$20&gt;=0,0,1)</f>
        <v>0</v>
      </c>
      <c r="V32" s="92"/>
      <c r="W32" s="92">
        <f t="shared" si="6"/>
        <v>0</v>
      </c>
      <c r="X32" s="88"/>
      <c r="AA32">
        <v>19</v>
      </c>
      <c r="AB32" s="96">
        <f>IF('Atsipirkimo vertinimas'!$N$21=$AB$4,X231,L231)</f>
        <v>17.892328715125725</v>
      </c>
    </row>
    <row r="33" spans="3:28" x14ac:dyDescent="0.25">
      <c r="C33" s="88">
        <v>29</v>
      </c>
      <c r="D33" s="92">
        <f t="shared" si="0"/>
        <v>1.5434027777777777</v>
      </c>
      <c r="E33" s="92">
        <f t="shared" si="1"/>
        <v>0.51284722222222212</v>
      </c>
      <c r="F33" s="92">
        <f>($G$4/('Atsipirkimo vertinimas'!$N$18*12-'Atsipirkimo vertinimas'!$N$20)*H33)</f>
        <v>0.97222222222222221</v>
      </c>
      <c r="G33" s="92">
        <f t="shared" si="7"/>
        <v>205.13888888888886</v>
      </c>
      <c r="H33">
        <f>IF(C33-'Atsipirkimo vertinimas'!$N$20&lt;0,0,1)</f>
        <v>1</v>
      </c>
      <c r="I33" s="92"/>
      <c r="J33" s="92">
        <f t="shared" si="2"/>
        <v>0</v>
      </c>
      <c r="K33" s="92"/>
      <c r="L33" s="88"/>
      <c r="N33" s="88">
        <v>29</v>
      </c>
      <c r="O33" s="92">
        <f t="shared" si="3"/>
        <v>1.3177522437705618</v>
      </c>
      <c r="P33" s="92">
        <f t="shared" si="4"/>
        <v>1.2594189104372284</v>
      </c>
      <c r="Q33" s="92">
        <f t="shared" si="5"/>
        <v>0.51577374754116467</v>
      </c>
      <c r="R33" s="92">
        <f t="shared" si="8"/>
        <v>0.74364516289606375</v>
      </c>
      <c r="S33" s="92">
        <f t="shared" si="9"/>
        <v>206.30949901646585</v>
      </c>
      <c r="T33">
        <f>IF(N33-'Atsipirkimo vertinimas'!$N$20&lt;0,0,1)</f>
        <v>1</v>
      </c>
      <c r="U33">
        <f>IF(N33-'Atsipirkimo vertinimas'!$N$20&gt;=0,0,1)</f>
        <v>0</v>
      </c>
      <c r="V33" s="92"/>
      <c r="W33" s="92">
        <f t="shared" si="6"/>
        <v>0</v>
      </c>
      <c r="X33" s="88"/>
      <c r="AA33">
        <v>20</v>
      </c>
      <c r="AB33" s="96">
        <f>IF('Atsipirkimo vertinimas'!$N$21=$AB$4,X243,L243)</f>
        <v>17.892328715125572</v>
      </c>
    </row>
    <row r="34" spans="3:28" x14ac:dyDescent="0.25">
      <c r="C34" s="88">
        <v>30</v>
      </c>
      <c r="D34" s="92">
        <f t="shared" si="0"/>
        <v>1.5409722222222222</v>
      </c>
      <c r="E34" s="92">
        <f t="shared" si="1"/>
        <v>0.51041666666666652</v>
      </c>
      <c r="F34" s="92">
        <f>($G$4/('Atsipirkimo vertinimas'!$N$18*12-'Atsipirkimo vertinimas'!$N$20)*H34)</f>
        <v>0.97222222222222221</v>
      </c>
      <c r="G34" s="92">
        <f t="shared" si="7"/>
        <v>204.16666666666663</v>
      </c>
      <c r="H34">
        <f>IF(C34-'Atsipirkimo vertinimas'!$N$20&lt;0,0,1)</f>
        <v>1</v>
      </c>
      <c r="I34" s="92"/>
      <c r="J34" s="92">
        <f t="shared" si="2"/>
        <v>0</v>
      </c>
      <c r="K34" s="92"/>
      <c r="L34" s="88"/>
      <c r="N34" s="88">
        <v>30</v>
      </c>
      <c r="O34" s="92">
        <f t="shared" si="3"/>
        <v>1.3177522437705618</v>
      </c>
      <c r="P34" s="92">
        <f t="shared" si="4"/>
        <v>1.2594189104372284</v>
      </c>
      <c r="Q34" s="92">
        <f t="shared" si="5"/>
        <v>0.51391463463392439</v>
      </c>
      <c r="R34" s="92">
        <f t="shared" si="8"/>
        <v>0.74550427580330403</v>
      </c>
      <c r="S34" s="92">
        <f t="shared" si="9"/>
        <v>205.56585385356979</v>
      </c>
      <c r="T34">
        <f>IF(N34-'Atsipirkimo vertinimas'!$N$20&lt;0,0,1)</f>
        <v>1</v>
      </c>
      <c r="U34">
        <f>IF(N34-'Atsipirkimo vertinimas'!$N$20&gt;=0,0,1)</f>
        <v>0</v>
      </c>
      <c r="V34" s="92"/>
      <c r="W34" s="92">
        <f t="shared" si="6"/>
        <v>0</v>
      </c>
      <c r="X34" s="88"/>
    </row>
    <row r="35" spans="3:28" x14ac:dyDescent="0.25">
      <c r="C35" s="88">
        <v>31</v>
      </c>
      <c r="D35" s="92">
        <f t="shared" si="0"/>
        <v>1.5385416666666665</v>
      </c>
      <c r="E35" s="92">
        <f t="shared" si="1"/>
        <v>0.50798611111111092</v>
      </c>
      <c r="F35" s="92">
        <f>($G$4/('Atsipirkimo vertinimas'!$N$18*12-'Atsipirkimo vertinimas'!$N$20)*H35)</f>
        <v>0.97222222222222221</v>
      </c>
      <c r="G35" s="92">
        <f t="shared" si="7"/>
        <v>203.1944444444444</v>
      </c>
      <c r="H35">
        <f>IF(C35-'Atsipirkimo vertinimas'!$N$20&lt;0,0,1)</f>
        <v>1</v>
      </c>
      <c r="I35" s="92"/>
      <c r="J35" s="92">
        <f t="shared" si="2"/>
        <v>0</v>
      </c>
      <c r="K35" s="92"/>
      <c r="L35" s="88"/>
      <c r="N35" s="88">
        <v>31</v>
      </c>
      <c r="O35" s="92">
        <f t="shared" si="3"/>
        <v>1.3177522437705618</v>
      </c>
      <c r="P35" s="92">
        <f t="shared" si="4"/>
        <v>1.2594189104372284</v>
      </c>
      <c r="Q35" s="92">
        <f t="shared" si="5"/>
        <v>0.51205087394441617</v>
      </c>
      <c r="R35" s="92">
        <f t="shared" si="8"/>
        <v>0.74736803649281225</v>
      </c>
      <c r="S35" s="92">
        <f t="shared" si="9"/>
        <v>204.82034957776648</v>
      </c>
      <c r="T35">
        <f>IF(N35-'Atsipirkimo vertinimas'!$N$20&lt;0,0,1)</f>
        <v>1</v>
      </c>
      <c r="U35">
        <f>IF(N35-'Atsipirkimo vertinimas'!$N$20&gt;=0,0,1)</f>
        <v>0</v>
      </c>
      <c r="V35" s="92"/>
      <c r="W35" s="92">
        <f t="shared" si="6"/>
        <v>0</v>
      </c>
      <c r="X35" s="88"/>
    </row>
    <row r="36" spans="3:28" x14ac:dyDescent="0.25">
      <c r="C36" s="88">
        <v>32</v>
      </c>
      <c r="D36" s="92">
        <f t="shared" si="0"/>
        <v>1.536111111111111</v>
      </c>
      <c r="E36" s="92">
        <f t="shared" si="1"/>
        <v>0.50555555555555542</v>
      </c>
      <c r="F36" s="92">
        <f>($G$4/('Atsipirkimo vertinimas'!$N$18*12-'Atsipirkimo vertinimas'!$N$20)*H36)</f>
        <v>0.97222222222222221</v>
      </c>
      <c r="G36" s="92">
        <f t="shared" si="7"/>
        <v>202.22222222222217</v>
      </c>
      <c r="H36">
        <f>IF(C36-'Atsipirkimo vertinimas'!$N$20&lt;0,0,1)</f>
        <v>1</v>
      </c>
      <c r="I36" s="92"/>
      <c r="J36" s="92">
        <f t="shared" si="2"/>
        <v>0</v>
      </c>
      <c r="K36" s="92"/>
      <c r="L36" s="88"/>
      <c r="N36" s="88">
        <v>32</v>
      </c>
      <c r="O36" s="92">
        <f t="shared" si="3"/>
        <v>1.3177522437705618</v>
      </c>
      <c r="P36" s="92">
        <f t="shared" si="4"/>
        <v>1.2594189104372284</v>
      </c>
      <c r="Q36" s="92">
        <f t="shared" si="5"/>
        <v>0.51018245385318417</v>
      </c>
      <c r="R36" s="92">
        <f t="shared" si="8"/>
        <v>0.74923645658404425</v>
      </c>
      <c r="S36" s="92">
        <f t="shared" si="9"/>
        <v>204.07298154127366</v>
      </c>
      <c r="T36">
        <f>IF(N36-'Atsipirkimo vertinimas'!$N$20&lt;0,0,1)</f>
        <v>1</v>
      </c>
      <c r="U36">
        <f>IF(N36-'Atsipirkimo vertinimas'!$N$20&gt;=0,0,1)</f>
        <v>0</v>
      </c>
      <c r="V36" s="92"/>
      <c r="W36" s="92">
        <f t="shared" si="6"/>
        <v>0</v>
      </c>
      <c r="X36" s="88"/>
    </row>
    <row r="37" spans="3:28" x14ac:dyDescent="0.25">
      <c r="C37" s="88">
        <v>33</v>
      </c>
      <c r="D37" s="92">
        <f t="shared" si="0"/>
        <v>1.5336805555555555</v>
      </c>
      <c r="E37" s="92">
        <f t="shared" si="1"/>
        <v>0.50312499999999982</v>
      </c>
      <c r="F37" s="92">
        <f>($G$4/('Atsipirkimo vertinimas'!$N$18*12-'Atsipirkimo vertinimas'!$N$20)*H37)</f>
        <v>0.97222222222222221</v>
      </c>
      <c r="G37" s="92">
        <f t="shared" si="7"/>
        <v>201.24999999999994</v>
      </c>
      <c r="H37">
        <f>IF(C37-'Atsipirkimo vertinimas'!$N$20&lt;0,0,1)</f>
        <v>1</v>
      </c>
      <c r="I37" s="92"/>
      <c r="J37" s="92">
        <f t="shared" si="2"/>
        <v>0</v>
      </c>
      <c r="K37" s="92"/>
      <c r="L37" s="88"/>
      <c r="N37" s="88">
        <v>33</v>
      </c>
      <c r="O37" s="92">
        <f t="shared" si="3"/>
        <v>1.3177522437705618</v>
      </c>
      <c r="P37" s="92">
        <f t="shared" si="4"/>
        <v>1.2594189104372284</v>
      </c>
      <c r="Q37" s="92">
        <f t="shared" si="5"/>
        <v>0.508309362711724</v>
      </c>
      <c r="R37" s="92">
        <f t="shared" si="8"/>
        <v>0.75110954772550442</v>
      </c>
      <c r="S37" s="92">
        <f t="shared" si="9"/>
        <v>203.32374508468962</v>
      </c>
      <c r="T37">
        <f>IF(N37-'Atsipirkimo vertinimas'!$N$20&lt;0,0,1)</f>
        <v>1</v>
      </c>
      <c r="U37">
        <f>IF(N37-'Atsipirkimo vertinimas'!$N$20&gt;=0,0,1)</f>
        <v>0</v>
      </c>
      <c r="V37" s="92"/>
      <c r="W37" s="92">
        <f t="shared" si="6"/>
        <v>0</v>
      </c>
      <c r="X37" s="88"/>
    </row>
    <row r="38" spans="3:28" x14ac:dyDescent="0.25">
      <c r="C38" s="88">
        <v>34</v>
      </c>
      <c r="D38" s="92">
        <f t="shared" si="0"/>
        <v>1.5312499999999998</v>
      </c>
      <c r="E38" s="92">
        <f t="shared" si="1"/>
        <v>0.50069444444444422</v>
      </c>
      <c r="F38" s="92">
        <f>($G$4/('Atsipirkimo vertinimas'!$N$18*12-'Atsipirkimo vertinimas'!$N$20)*H38)</f>
        <v>0.97222222222222221</v>
      </c>
      <c r="G38" s="92">
        <f t="shared" si="7"/>
        <v>200.27777777777771</v>
      </c>
      <c r="H38">
        <f>IF(C38-'Atsipirkimo vertinimas'!$N$20&lt;0,0,1)</f>
        <v>1</v>
      </c>
      <c r="I38" s="92"/>
      <c r="J38" s="92">
        <f t="shared" si="2"/>
        <v>0</v>
      </c>
      <c r="K38" s="92"/>
      <c r="L38" s="88"/>
      <c r="N38" s="88">
        <v>34</v>
      </c>
      <c r="O38" s="92">
        <f t="shared" si="3"/>
        <v>1.3177522437705618</v>
      </c>
      <c r="P38" s="92">
        <f t="shared" si="4"/>
        <v>1.2594189104372284</v>
      </c>
      <c r="Q38" s="92">
        <f t="shared" si="5"/>
        <v>0.50643158884241035</v>
      </c>
      <c r="R38" s="92">
        <f t="shared" si="8"/>
        <v>0.75298732159481807</v>
      </c>
      <c r="S38" s="92">
        <f t="shared" si="9"/>
        <v>202.57263553696413</v>
      </c>
      <c r="T38">
        <f>IF(N38-'Atsipirkimo vertinimas'!$N$20&lt;0,0,1)</f>
        <v>1</v>
      </c>
      <c r="U38">
        <f>IF(N38-'Atsipirkimo vertinimas'!$N$20&gt;=0,0,1)</f>
        <v>0</v>
      </c>
      <c r="V38" s="92"/>
      <c r="W38" s="92">
        <f t="shared" si="6"/>
        <v>0</v>
      </c>
      <c r="X38" s="88"/>
    </row>
    <row r="39" spans="3:28" x14ac:dyDescent="0.25">
      <c r="C39" s="88">
        <v>35</v>
      </c>
      <c r="D39" s="92">
        <f t="shared" si="0"/>
        <v>1.5288194444444443</v>
      </c>
      <c r="E39" s="92">
        <f t="shared" si="1"/>
        <v>0.49826388888888867</v>
      </c>
      <c r="F39" s="92">
        <f>($G$4/('Atsipirkimo vertinimas'!$N$18*12-'Atsipirkimo vertinimas'!$N$20)*H39)</f>
        <v>0.97222222222222221</v>
      </c>
      <c r="G39" s="92">
        <f t="shared" si="7"/>
        <v>199.30555555555549</v>
      </c>
      <c r="H39">
        <f>IF(C39-'Atsipirkimo vertinimas'!$N$20&lt;0,0,1)</f>
        <v>1</v>
      </c>
      <c r="I39" s="92"/>
      <c r="J39" s="92">
        <f t="shared" si="2"/>
        <v>0</v>
      </c>
      <c r="K39" s="92"/>
      <c r="L39" s="91">
        <f>IF('Atsipirkimo vertinimas'!$N$18*12&gt;Grafikas!C39,SUM(D28:D39),0)</f>
        <v>18.506250000000001</v>
      </c>
      <c r="N39" s="88">
        <v>35</v>
      </c>
      <c r="O39" s="92">
        <f t="shared" si="3"/>
        <v>1.3177522437705618</v>
      </c>
      <c r="P39" s="92">
        <f t="shared" si="4"/>
        <v>1.2594189104372284</v>
      </c>
      <c r="Q39" s="92">
        <f t="shared" si="5"/>
        <v>0.50454912053842327</v>
      </c>
      <c r="R39" s="92">
        <f t="shared" si="8"/>
        <v>0.75486978989880515</v>
      </c>
      <c r="S39" s="92">
        <f t="shared" si="9"/>
        <v>201.81964821536931</v>
      </c>
      <c r="T39">
        <f>IF(N39-'Atsipirkimo vertinimas'!$N$20&lt;0,0,1)</f>
        <v>1</v>
      </c>
      <c r="U39">
        <f>IF(N39-'Atsipirkimo vertinimas'!$N$20&gt;=0,0,1)</f>
        <v>0</v>
      </c>
      <c r="V39" s="92"/>
      <c r="W39" s="92">
        <f t="shared" si="6"/>
        <v>0</v>
      </c>
      <c r="X39" s="91">
        <f>IF('Atsipirkimo vertinimas'!$N$18*12&gt;Grafikas!C39,SUM(O28:O39),0)</f>
        <v>15.81302692524674</v>
      </c>
    </row>
    <row r="40" spans="3:28" x14ac:dyDescent="0.25">
      <c r="C40" s="88">
        <v>36</v>
      </c>
      <c r="D40" s="92">
        <f t="shared" si="0"/>
        <v>1.5263888888888888</v>
      </c>
      <c r="E40" s="92">
        <f t="shared" si="1"/>
        <v>0.49583333333333313</v>
      </c>
      <c r="F40" s="92">
        <f>($G$4/('Atsipirkimo vertinimas'!$N$18*12-'Atsipirkimo vertinimas'!$N$20)*H40)</f>
        <v>0.97222222222222221</v>
      </c>
      <c r="G40" s="92">
        <f t="shared" si="7"/>
        <v>198.33333333333326</v>
      </c>
      <c r="H40">
        <f>IF(C40-'Atsipirkimo vertinimas'!$N$20&lt;0,0,1)</f>
        <v>1</v>
      </c>
      <c r="I40" s="92"/>
      <c r="J40" s="92">
        <f t="shared" si="2"/>
        <v>0</v>
      </c>
      <c r="K40" s="92"/>
      <c r="L40" s="88"/>
      <c r="N40" s="88">
        <v>36</v>
      </c>
      <c r="O40" s="92">
        <f t="shared" si="3"/>
        <v>1.3177522437705618</v>
      </c>
      <c r="P40" s="92">
        <f t="shared" si="4"/>
        <v>1.2594189104372284</v>
      </c>
      <c r="Q40" s="92">
        <f t="shared" si="5"/>
        <v>0.5026619460636762</v>
      </c>
      <c r="R40" s="92">
        <f t="shared" si="8"/>
        <v>0.75675696437355222</v>
      </c>
      <c r="S40" s="92">
        <f t="shared" si="9"/>
        <v>201.06477842547051</v>
      </c>
      <c r="T40">
        <f>IF(N40-'Atsipirkimo vertinimas'!$N$20&lt;0,0,1)</f>
        <v>1</v>
      </c>
      <c r="U40">
        <f>IF(N40-'Atsipirkimo vertinimas'!$N$20&gt;=0,0,1)</f>
        <v>0</v>
      </c>
      <c r="V40" s="92"/>
      <c r="W40" s="92">
        <f t="shared" si="6"/>
        <v>0</v>
      </c>
      <c r="X40" s="88"/>
    </row>
    <row r="41" spans="3:28" x14ac:dyDescent="0.25">
      <c r="C41" s="88">
        <v>37</v>
      </c>
      <c r="D41" s="92">
        <f t="shared" si="0"/>
        <v>1.5239583333333331</v>
      </c>
      <c r="E41" s="92">
        <f t="shared" si="1"/>
        <v>0.49340277777777758</v>
      </c>
      <c r="F41" s="92">
        <f>($G$4/('Atsipirkimo vertinimas'!$N$18*12-'Atsipirkimo vertinimas'!$N$20)*H41)</f>
        <v>0.97222222222222221</v>
      </c>
      <c r="G41" s="92">
        <f t="shared" si="7"/>
        <v>197.36111111111103</v>
      </c>
      <c r="H41">
        <f>IF(C41-'Atsipirkimo vertinimas'!$N$20&lt;0,0,1)</f>
        <v>1</v>
      </c>
      <c r="I41" s="92"/>
      <c r="J41" s="92">
        <f t="shared" si="2"/>
        <v>0</v>
      </c>
      <c r="K41" s="92"/>
      <c r="L41" s="88"/>
      <c r="N41" s="88">
        <v>37</v>
      </c>
      <c r="O41" s="92">
        <f t="shared" si="3"/>
        <v>1.3177522437705618</v>
      </c>
      <c r="P41" s="92">
        <f t="shared" si="4"/>
        <v>1.2594189104372284</v>
      </c>
      <c r="Q41" s="92">
        <f t="shared" si="5"/>
        <v>0.50077005365274241</v>
      </c>
      <c r="R41" s="92">
        <f t="shared" si="8"/>
        <v>0.75864885678448601</v>
      </c>
      <c r="S41" s="92">
        <f t="shared" si="9"/>
        <v>200.30802146109696</v>
      </c>
      <c r="T41">
        <f>IF(N41-'Atsipirkimo vertinimas'!$N$20&lt;0,0,1)</f>
        <v>1</v>
      </c>
      <c r="U41">
        <f>IF(N41-'Atsipirkimo vertinimas'!$N$20&gt;=0,0,1)</f>
        <v>0</v>
      </c>
      <c r="V41" s="92"/>
      <c r="W41" s="92">
        <f t="shared" si="6"/>
        <v>0</v>
      </c>
      <c r="X41" s="88"/>
    </row>
    <row r="42" spans="3:28" x14ac:dyDescent="0.25">
      <c r="C42" s="88">
        <v>38</v>
      </c>
      <c r="D42" s="92">
        <f t="shared" si="0"/>
        <v>1.5215277777777776</v>
      </c>
      <c r="E42" s="92">
        <f t="shared" si="1"/>
        <v>0.49097222222222198</v>
      </c>
      <c r="F42" s="92">
        <f>($G$4/('Atsipirkimo vertinimas'!$N$18*12-'Atsipirkimo vertinimas'!$N$20)*H42)</f>
        <v>0.97222222222222221</v>
      </c>
      <c r="G42" s="92">
        <f t="shared" si="7"/>
        <v>196.3888888888888</v>
      </c>
      <c r="H42">
        <f>IF(C42-'Atsipirkimo vertinimas'!$N$20&lt;0,0,1)</f>
        <v>1</v>
      </c>
      <c r="I42" s="92"/>
      <c r="J42" s="92">
        <f t="shared" si="2"/>
        <v>0</v>
      </c>
      <c r="K42" s="92"/>
      <c r="L42" s="88"/>
      <c r="N42" s="88">
        <v>38</v>
      </c>
      <c r="O42" s="92">
        <f t="shared" si="3"/>
        <v>1.3177522437705618</v>
      </c>
      <c r="P42" s="92">
        <f t="shared" si="4"/>
        <v>1.2594189104372284</v>
      </c>
      <c r="Q42" s="92">
        <f t="shared" si="5"/>
        <v>0.49887343151078117</v>
      </c>
      <c r="R42" s="92">
        <f t="shared" si="8"/>
        <v>0.76054547892644719</v>
      </c>
      <c r="S42" s="92">
        <f t="shared" si="9"/>
        <v>199.54937260431248</v>
      </c>
      <c r="T42">
        <f>IF(N42-'Atsipirkimo vertinimas'!$N$20&lt;0,0,1)</f>
        <v>1</v>
      </c>
      <c r="U42">
        <f>IF(N42-'Atsipirkimo vertinimas'!$N$20&gt;=0,0,1)</f>
        <v>0</v>
      </c>
      <c r="V42" s="92"/>
      <c r="W42" s="92">
        <f t="shared" si="6"/>
        <v>0</v>
      </c>
      <c r="X42" s="88"/>
    </row>
    <row r="43" spans="3:28" x14ac:dyDescent="0.25">
      <c r="C43" s="88">
        <v>39</v>
      </c>
      <c r="D43" s="92">
        <f t="shared" si="0"/>
        <v>1.5190972222222221</v>
      </c>
      <c r="E43" s="92">
        <f t="shared" si="1"/>
        <v>0.48854166666666643</v>
      </c>
      <c r="F43" s="92">
        <f>($G$4/('Atsipirkimo vertinimas'!$N$18*12-'Atsipirkimo vertinimas'!$N$20)*H43)</f>
        <v>0.97222222222222221</v>
      </c>
      <c r="G43" s="92">
        <f t="shared" si="7"/>
        <v>195.41666666666657</v>
      </c>
      <c r="H43">
        <f>IF(C43-'Atsipirkimo vertinimas'!$N$20&lt;0,0,1)</f>
        <v>1</v>
      </c>
      <c r="I43" s="92"/>
      <c r="J43" s="92">
        <f t="shared" si="2"/>
        <v>0</v>
      </c>
      <c r="K43" s="92"/>
      <c r="L43" s="88"/>
      <c r="N43" s="88">
        <v>39</v>
      </c>
      <c r="O43" s="92">
        <f t="shared" si="3"/>
        <v>1.3177522437705618</v>
      </c>
      <c r="P43" s="92">
        <f t="shared" si="4"/>
        <v>1.2594189104372284</v>
      </c>
      <c r="Q43" s="92">
        <f t="shared" si="5"/>
        <v>0.49697206781346503</v>
      </c>
      <c r="R43" s="92">
        <f t="shared" si="8"/>
        <v>0.76244684262376339</v>
      </c>
      <c r="S43" s="92">
        <f t="shared" si="9"/>
        <v>198.78882712538604</v>
      </c>
      <c r="T43">
        <f>IF(N43-'Atsipirkimo vertinimas'!$N$20&lt;0,0,1)</f>
        <v>1</v>
      </c>
      <c r="U43">
        <f>IF(N43-'Atsipirkimo vertinimas'!$N$20&gt;=0,0,1)</f>
        <v>0</v>
      </c>
      <c r="V43" s="92"/>
      <c r="W43" s="92">
        <f t="shared" si="6"/>
        <v>0</v>
      </c>
      <c r="X43" s="88"/>
    </row>
    <row r="44" spans="3:28" x14ac:dyDescent="0.25">
      <c r="C44" s="88">
        <v>40</v>
      </c>
      <c r="D44" s="92">
        <f t="shared" si="0"/>
        <v>1.5166666666666664</v>
      </c>
      <c r="E44" s="92">
        <f t="shared" si="1"/>
        <v>0.48611111111111088</v>
      </c>
      <c r="F44" s="92">
        <f>($G$4/('Atsipirkimo vertinimas'!$N$18*12-'Atsipirkimo vertinimas'!$N$20)*H44)</f>
        <v>0.97222222222222221</v>
      </c>
      <c r="G44" s="92">
        <f t="shared" si="7"/>
        <v>194.44444444444434</v>
      </c>
      <c r="H44">
        <f>IF(C44-'Atsipirkimo vertinimas'!$N$20&lt;0,0,1)</f>
        <v>1</v>
      </c>
      <c r="I44" s="92"/>
      <c r="J44" s="92">
        <f t="shared" si="2"/>
        <v>0</v>
      </c>
      <c r="K44" s="92"/>
      <c r="L44" s="88"/>
      <c r="N44" s="88">
        <v>40</v>
      </c>
      <c r="O44" s="92">
        <f t="shared" si="3"/>
        <v>1.3177522437705618</v>
      </c>
      <c r="P44" s="92">
        <f t="shared" si="4"/>
        <v>1.2594189104372284</v>
      </c>
      <c r="Q44" s="92">
        <f t="shared" si="5"/>
        <v>0.49506595070690568</v>
      </c>
      <c r="R44" s="92">
        <f t="shared" si="8"/>
        <v>0.76435295973032269</v>
      </c>
      <c r="S44" s="92">
        <f t="shared" si="9"/>
        <v>198.02638028276226</v>
      </c>
      <c r="T44">
        <f>IF(N44-'Atsipirkimo vertinimas'!$N$20&lt;0,0,1)</f>
        <v>1</v>
      </c>
      <c r="U44">
        <f>IF(N44-'Atsipirkimo vertinimas'!$N$20&gt;=0,0,1)</f>
        <v>0</v>
      </c>
      <c r="V44" s="92"/>
      <c r="W44" s="92">
        <f t="shared" si="6"/>
        <v>0</v>
      </c>
      <c r="X44" s="88"/>
    </row>
    <row r="45" spans="3:28" x14ac:dyDescent="0.25">
      <c r="C45" s="88">
        <v>41</v>
      </c>
      <c r="D45" s="92">
        <f t="shared" si="0"/>
        <v>1.5142361111111109</v>
      </c>
      <c r="E45" s="92">
        <f t="shared" si="1"/>
        <v>0.48368055555555528</v>
      </c>
      <c r="F45" s="92">
        <f>($G$4/('Atsipirkimo vertinimas'!$N$18*12-'Atsipirkimo vertinimas'!$N$20)*H45)</f>
        <v>0.97222222222222221</v>
      </c>
      <c r="G45" s="92">
        <f t="shared" si="7"/>
        <v>193.47222222222211</v>
      </c>
      <c r="H45">
        <f>IF(C45-'Atsipirkimo vertinimas'!$N$20&lt;0,0,1)</f>
        <v>1</v>
      </c>
      <c r="I45" s="92"/>
      <c r="J45" s="92">
        <f t="shared" si="2"/>
        <v>0</v>
      </c>
      <c r="K45" s="92"/>
      <c r="L45" s="88"/>
      <c r="N45" s="88">
        <v>41</v>
      </c>
      <c r="O45" s="92">
        <f t="shared" si="3"/>
        <v>1.3177522437705618</v>
      </c>
      <c r="P45" s="92">
        <f t="shared" si="4"/>
        <v>1.2594189104372284</v>
      </c>
      <c r="Q45" s="92">
        <f t="shared" si="5"/>
        <v>0.49315506830757982</v>
      </c>
      <c r="R45" s="92">
        <f t="shared" si="8"/>
        <v>0.7662638421296486</v>
      </c>
      <c r="S45" s="92">
        <f t="shared" si="9"/>
        <v>197.26202732303193</v>
      </c>
      <c r="T45">
        <f>IF(N45-'Atsipirkimo vertinimas'!$N$20&lt;0,0,1)</f>
        <v>1</v>
      </c>
      <c r="U45">
        <f>IF(N45-'Atsipirkimo vertinimas'!$N$20&gt;=0,0,1)</f>
        <v>0</v>
      </c>
      <c r="V45" s="92"/>
      <c r="W45" s="92">
        <f t="shared" si="6"/>
        <v>0</v>
      </c>
      <c r="X45" s="88"/>
    </row>
    <row r="46" spans="3:28" x14ac:dyDescent="0.25">
      <c r="C46" s="88">
        <v>42</v>
      </c>
      <c r="D46" s="92">
        <f t="shared" si="0"/>
        <v>1.5118055555555554</v>
      </c>
      <c r="E46" s="92">
        <f t="shared" si="1"/>
        <v>0.48124999999999973</v>
      </c>
      <c r="F46" s="92">
        <f>($G$4/('Atsipirkimo vertinimas'!$N$18*12-'Atsipirkimo vertinimas'!$N$20)*H46)</f>
        <v>0.97222222222222221</v>
      </c>
      <c r="G46" s="92">
        <f t="shared" si="7"/>
        <v>192.49999999999989</v>
      </c>
      <c r="H46">
        <f>IF(C46-'Atsipirkimo vertinimas'!$N$20&lt;0,0,1)</f>
        <v>1</v>
      </c>
      <c r="I46" s="92"/>
      <c r="J46" s="92">
        <f t="shared" si="2"/>
        <v>0</v>
      </c>
      <c r="K46" s="92"/>
      <c r="L46" s="88"/>
      <c r="N46" s="88">
        <v>42</v>
      </c>
      <c r="O46" s="92">
        <f t="shared" si="3"/>
        <v>1.3177522437705618</v>
      </c>
      <c r="P46" s="92">
        <f t="shared" si="4"/>
        <v>1.2594189104372284</v>
      </c>
      <c r="Q46" s="92">
        <f t="shared" si="5"/>
        <v>0.49123940870225563</v>
      </c>
      <c r="R46" s="92">
        <f t="shared" si="8"/>
        <v>0.76817950173497285</v>
      </c>
      <c r="S46" s="92">
        <f t="shared" si="9"/>
        <v>196.49576348090227</v>
      </c>
      <c r="T46">
        <f>IF(N46-'Atsipirkimo vertinimas'!$N$20&lt;0,0,1)</f>
        <v>1</v>
      </c>
      <c r="U46">
        <f>IF(N46-'Atsipirkimo vertinimas'!$N$20&gt;=0,0,1)</f>
        <v>0</v>
      </c>
      <c r="V46" s="92"/>
      <c r="W46" s="92">
        <f t="shared" si="6"/>
        <v>0</v>
      </c>
      <c r="X46" s="88"/>
    </row>
    <row r="47" spans="3:28" x14ac:dyDescent="0.25">
      <c r="C47" s="88">
        <v>43</v>
      </c>
      <c r="D47" s="92">
        <f t="shared" si="0"/>
        <v>1.5093749999999997</v>
      </c>
      <c r="E47" s="92">
        <f t="shared" si="1"/>
        <v>0.47881944444444408</v>
      </c>
      <c r="F47" s="92">
        <f>($G$4/('Atsipirkimo vertinimas'!$N$18*12-'Atsipirkimo vertinimas'!$N$20)*H47)</f>
        <v>0.97222222222222221</v>
      </c>
      <c r="G47" s="92">
        <f t="shared" si="7"/>
        <v>191.52777777777766</v>
      </c>
      <c r="H47">
        <f>IF(C47-'Atsipirkimo vertinimas'!$N$20&lt;0,0,1)</f>
        <v>1</v>
      </c>
      <c r="I47" s="92"/>
      <c r="J47" s="92">
        <f t="shared" si="2"/>
        <v>0</v>
      </c>
      <c r="K47" s="92"/>
      <c r="L47" s="88"/>
      <c r="N47" s="88">
        <v>43</v>
      </c>
      <c r="O47" s="92">
        <f t="shared" si="3"/>
        <v>1.3177522437705618</v>
      </c>
      <c r="P47" s="92">
        <f t="shared" si="4"/>
        <v>1.2594189104372284</v>
      </c>
      <c r="Q47" s="92">
        <f t="shared" si="5"/>
        <v>0.48931895994791819</v>
      </c>
      <c r="R47" s="92">
        <f t="shared" si="8"/>
        <v>0.77009995048931024</v>
      </c>
      <c r="S47" s="92">
        <f t="shared" si="9"/>
        <v>195.72758397916729</v>
      </c>
      <c r="T47">
        <f>IF(N47-'Atsipirkimo vertinimas'!$N$20&lt;0,0,1)</f>
        <v>1</v>
      </c>
      <c r="U47">
        <f>IF(N47-'Atsipirkimo vertinimas'!$N$20&gt;=0,0,1)</f>
        <v>0</v>
      </c>
      <c r="V47" s="92"/>
      <c r="W47" s="92">
        <f t="shared" si="6"/>
        <v>0</v>
      </c>
      <c r="X47" s="88"/>
    </row>
    <row r="48" spans="3:28" x14ac:dyDescent="0.25">
      <c r="C48" s="88">
        <v>44</v>
      </c>
      <c r="D48" s="92">
        <f t="shared" si="0"/>
        <v>1.506944444444444</v>
      </c>
      <c r="E48" s="92">
        <f t="shared" si="1"/>
        <v>0.47638888888888853</v>
      </c>
      <c r="F48" s="92">
        <f>($G$4/('Atsipirkimo vertinimas'!$N$18*12-'Atsipirkimo vertinimas'!$N$20)*H48)</f>
        <v>0.97222222222222221</v>
      </c>
      <c r="G48" s="92">
        <f t="shared" si="7"/>
        <v>190.55555555555543</v>
      </c>
      <c r="H48">
        <f>IF(C48-'Atsipirkimo vertinimas'!$N$20&lt;0,0,1)</f>
        <v>1</v>
      </c>
      <c r="I48" s="92"/>
      <c r="J48" s="92">
        <f t="shared" si="2"/>
        <v>0</v>
      </c>
      <c r="K48" s="92"/>
      <c r="L48" s="88"/>
      <c r="N48" s="88">
        <v>44</v>
      </c>
      <c r="O48" s="92">
        <f t="shared" si="3"/>
        <v>1.3177522437705618</v>
      </c>
      <c r="P48" s="92">
        <f t="shared" si="4"/>
        <v>1.2594189104372284</v>
      </c>
      <c r="Q48" s="92">
        <f t="shared" si="5"/>
        <v>0.48739371007169496</v>
      </c>
      <c r="R48" s="92">
        <f t="shared" si="8"/>
        <v>0.77202520036553346</v>
      </c>
      <c r="S48" s="92">
        <f t="shared" si="9"/>
        <v>194.95748402867798</v>
      </c>
      <c r="T48">
        <f>IF(N48-'Atsipirkimo vertinimas'!$N$20&lt;0,0,1)</f>
        <v>1</v>
      </c>
      <c r="U48">
        <f>IF(N48-'Atsipirkimo vertinimas'!$N$20&gt;=0,0,1)</f>
        <v>0</v>
      </c>
      <c r="V48" s="92"/>
      <c r="W48" s="92">
        <f t="shared" si="6"/>
        <v>0</v>
      </c>
      <c r="X48" s="88"/>
    </row>
    <row r="49" spans="3:26" x14ac:dyDescent="0.25">
      <c r="C49" s="88">
        <v>45</v>
      </c>
      <c r="D49" s="92">
        <f t="shared" si="0"/>
        <v>1.5045138888888885</v>
      </c>
      <c r="E49" s="92">
        <f t="shared" si="1"/>
        <v>0.47395833333333298</v>
      </c>
      <c r="F49" s="92">
        <f>($G$4/('Atsipirkimo vertinimas'!$N$18*12-'Atsipirkimo vertinimas'!$N$20)*H49)</f>
        <v>0.97222222222222221</v>
      </c>
      <c r="G49" s="92">
        <f t="shared" si="7"/>
        <v>189.5833333333332</v>
      </c>
      <c r="H49">
        <f>IF(C49-'Atsipirkimo vertinimas'!$N$20&lt;0,0,1)</f>
        <v>1</v>
      </c>
      <c r="I49" s="92"/>
      <c r="J49" s="92">
        <f t="shared" si="2"/>
        <v>0</v>
      </c>
      <c r="K49" s="92"/>
      <c r="L49" s="88"/>
      <c r="N49" s="88">
        <v>45</v>
      </c>
      <c r="O49" s="92">
        <f t="shared" si="3"/>
        <v>1.3177522437705618</v>
      </c>
      <c r="P49" s="92">
        <f t="shared" si="4"/>
        <v>1.2594189104372284</v>
      </c>
      <c r="Q49" s="92">
        <f t="shared" si="5"/>
        <v>0.4854636470707811</v>
      </c>
      <c r="R49" s="92">
        <f t="shared" si="8"/>
        <v>0.77395526336644727</v>
      </c>
      <c r="S49" s="92">
        <f t="shared" si="9"/>
        <v>194.18545882831245</v>
      </c>
      <c r="T49">
        <f>IF(N49-'Atsipirkimo vertinimas'!$N$20&lt;0,0,1)</f>
        <v>1</v>
      </c>
      <c r="U49">
        <f>IF(N49-'Atsipirkimo vertinimas'!$N$20&gt;=0,0,1)</f>
        <v>0</v>
      </c>
      <c r="V49" s="92"/>
      <c r="W49" s="92">
        <f t="shared" si="6"/>
        <v>0</v>
      </c>
      <c r="X49" s="88"/>
    </row>
    <row r="50" spans="3:26" x14ac:dyDescent="0.25">
      <c r="C50" s="88">
        <v>46</v>
      </c>
      <c r="D50" s="92">
        <f t="shared" si="0"/>
        <v>1.502083333333333</v>
      </c>
      <c r="E50" s="92">
        <f t="shared" si="1"/>
        <v>0.47152777777777738</v>
      </c>
      <c r="F50" s="92">
        <f>($G$4/('Atsipirkimo vertinimas'!$N$18*12-'Atsipirkimo vertinimas'!$N$20)*H50)</f>
        <v>0.97222222222222221</v>
      </c>
      <c r="G50" s="92">
        <f t="shared" si="7"/>
        <v>188.61111111111097</v>
      </c>
      <c r="H50">
        <f>IF(C50-'Atsipirkimo vertinimas'!$N$20&lt;0,0,1)</f>
        <v>1</v>
      </c>
      <c r="I50" s="92"/>
      <c r="J50" s="92">
        <f t="shared" si="2"/>
        <v>0</v>
      </c>
      <c r="K50" s="92"/>
      <c r="L50" s="88"/>
      <c r="N50" s="88">
        <v>46</v>
      </c>
      <c r="O50" s="92">
        <f t="shared" si="3"/>
        <v>1.3177522437705618</v>
      </c>
      <c r="P50" s="92">
        <f t="shared" si="4"/>
        <v>1.2594189104372284</v>
      </c>
      <c r="Q50" s="92">
        <f t="shared" si="5"/>
        <v>0.48352875891236496</v>
      </c>
      <c r="R50" s="92">
        <f t="shared" si="8"/>
        <v>0.77589015152486351</v>
      </c>
      <c r="S50" s="92">
        <f t="shared" si="9"/>
        <v>193.411503564946</v>
      </c>
      <c r="T50">
        <f>IF(N50-'Atsipirkimo vertinimas'!$N$20&lt;0,0,1)</f>
        <v>1</v>
      </c>
      <c r="U50">
        <f>IF(N50-'Atsipirkimo vertinimas'!$N$20&gt;=0,0,1)</f>
        <v>0</v>
      </c>
      <c r="V50" s="92"/>
      <c r="W50" s="92">
        <f t="shared" si="6"/>
        <v>0</v>
      </c>
      <c r="X50" s="88"/>
    </row>
    <row r="51" spans="3:26" x14ac:dyDescent="0.25">
      <c r="C51" s="88">
        <v>47</v>
      </c>
      <c r="D51" s="92">
        <f t="shared" si="0"/>
        <v>1.4996527777777773</v>
      </c>
      <c r="E51" s="92">
        <f t="shared" si="1"/>
        <v>0.46909722222222183</v>
      </c>
      <c r="F51" s="92">
        <f>($G$4/('Atsipirkimo vertinimas'!$N$18*12-'Atsipirkimo vertinimas'!$N$20)*H51)</f>
        <v>0.97222222222222221</v>
      </c>
      <c r="G51" s="92">
        <f t="shared" si="7"/>
        <v>187.63888888888874</v>
      </c>
      <c r="H51">
        <f>IF(C51-'Atsipirkimo vertinimas'!$N$20&lt;0,0,1)</f>
        <v>1</v>
      </c>
      <c r="I51" s="92"/>
      <c r="J51" s="92">
        <f t="shared" si="2"/>
        <v>0</v>
      </c>
      <c r="K51" s="92"/>
      <c r="L51" s="91">
        <f>IF('Atsipirkimo vertinimas'!$N$18*12&gt;Grafikas!C51,SUM(D40:D51),0)</f>
        <v>18.156249999999996</v>
      </c>
      <c r="N51" s="88">
        <v>47</v>
      </c>
      <c r="O51" s="92">
        <f t="shared" si="3"/>
        <v>1.3177522437705618</v>
      </c>
      <c r="P51" s="92">
        <f t="shared" si="4"/>
        <v>1.2594189104372284</v>
      </c>
      <c r="Q51" s="92">
        <f t="shared" si="5"/>
        <v>0.48158903353355287</v>
      </c>
      <c r="R51" s="92">
        <f t="shared" si="8"/>
        <v>0.77782987690367555</v>
      </c>
      <c r="S51" s="92">
        <f t="shared" si="9"/>
        <v>192.63561341342114</v>
      </c>
      <c r="T51">
        <f>IF(N51-'Atsipirkimo vertinimas'!$N$20&lt;0,0,1)</f>
        <v>1</v>
      </c>
      <c r="U51">
        <f>IF(N51-'Atsipirkimo vertinimas'!$N$20&gt;=0,0,1)</f>
        <v>0</v>
      </c>
      <c r="V51" s="92"/>
      <c r="W51" s="92">
        <f t="shared" si="6"/>
        <v>0</v>
      </c>
      <c r="X51" s="91">
        <f>IF('Atsipirkimo vertinimas'!$N$18*12&gt;Grafikas!C51,SUM(O40:O51),0)</f>
        <v>15.81302692524674</v>
      </c>
    </row>
    <row r="52" spans="3:26" x14ac:dyDescent="0.25">
      <c r="C52" s="88">
        <v>48</v>
      </c>
      <c r="D52" s="92">
        <f t="shared" si="0"/>
        <v>1.4972222222222218</v>
      </c>
      <c r="E52" s="92">
        <f t="shared" si="1"/>
        <v>0.46666666666666629</v>
      </c>
      <c r="F52" s="92">
        <f>($G$4/('Atsipirkimo vertinimas'!$N$18*12-'Atsipirkimo vertinimas'!$N$20)*H52)</f>
        <v>0.97222222222222221</v>
      </c>
      <c r="G52" s="92">
        <f t="shared" si="7"/>
        <v>186.66666666666652</v>
      </c>
      <c r="H52">
        <f>IF(C52-'Atsipirkimo vertinimas'!$N$20&lt;0,0,1)</f>
        <v>1</v>
      </c>
      <c r="I52" s="92"/>
      <c r="J52" s="92">
        <f t="shared" si="2"/>
        <v>0</v>
      </c>
      <c r="K52" s="92"/>
      <c r="L52" s="88"/>
      <c r="N52" s="88">
        <v>48</v>
      </c>
      <c r="O52" s="92">
        <f t="shared" si="3"/>
        <v>1.3177522437705618</v>
      </c>
      <c r="P52" s="92">
        <f t="shared" si="4"/>
        <v>1.2594189104372284</v>
      </c>
      <c r="Q52" s="92">
        <f t="shared" si="5"/>
        <v>0.47964445884129364</v>
      </c>
      <c r="R52" s="92">
        <f t="shared" si="8"/>
        <v>0.77977445159593484</v>
      </c>
      <c r="S52" s="92">
        <f t="shared" si="9"/>
        <v>191.85778353651747</v>
      </c>
      <c r="T52">
        <f>IF(N52-'Atsipirkimo vertinimas'!$N$20&lt;0,0,1)</f>
        <v>1</v>
      </c>
      <c r="U52">
        <f>IF(N52-'Atsipirkimo vertinimas'!$N$20&gt;=0,0,1)</f>
        <v>0</v>
      </c>
      <c r="V52" s="92"/>
      <c r="W52" s="92">
        <f t="shared" si="6"/>
        <v>0</v>
      </c>
      <c r="X52" s="88"/>
    </row>
    <row r="53" spans="3:26" x14ac:dyDescent="0.25">
      <c r="C53" s="88">
        <v>49</v>
      </c>
      <c r="D53" s="92">
        <f t="shared" si="0"/>
        <v>1.4947916666666663</v>
      </c>
      <c r="E53" s="92">
        <f t="shared" si="1"/>
        <v>0.46423611111111068</v>
      </c>
      <c r="F53" s="92">
        <f>($G$4/('Atsipirkimo vertinimas'!$N$18*12-'Atsipirkimo vertinimas'!$N$20)*H53)</f>
        <v>0.97222222222222221</v>
      </c>
      <c r="G53" s="92">
        <f t="shared" si="7"/>
        <v>185.69444444444429</v>
      </c>
      <c r="H53">
        <f>IF(C53-'Atsipirkimo vertinimas'!$N$20&lt;0,0,1)</f>
        <v>1</v>
      </c>
      <c r="I53" s="92"/>
      <c r="J53" s="92">
        <f t="shared" si="2"/>
        <v>0</v>
      </c>
      <c r="K53" s="92"/>
      <c r="L53" s="88"/>
      <c r="N53" s="88">
        <v>49</v>
      </c>
      <c r="O53" s="92">
        <f t="shared" si="3"/>
        <v>1.3177522437705618</v>
      </c>
      <c r="P53" s="92">
        <f t="shared" si="4"/>
        <v>1.2594189104372284</v>
      </c>
      <c r="Q53" s="92">
        <f t="shared" si="5"/>
        <v>0.47769502271230385</v>
      </c>
      <c r="R53" s="92">
        <f t="shared" si="8"/>
        <v>0.78172388772492463</v>
      </c>
      <c r="S53" s="92">
        <f t="shared" si="9"/>
        <v>191.07800908492155</v>
      </c>
      <c r="T53">
        <f>IF(N53-'Atsipirkimo vertinimas'!$N$20&lt;0,0,1)</f>
        <v>1</v>
      </c>
      <c r="U53">
        <f>IF(N53-'Atsipirkimo vertinimas'!$N$20&gt;=0,0,1)</f>
        <v>0</v>
      </c>
      <c r="V53" s="92"/>
      <c r="W53" s="92">
        <f t="shared" si="6"/>
        <v>0</v>
      </c>
      <c r="X53" s="88"/>
    </row>
    <row r="54" spans="3:26" x14ac:dyDescent="0.25">
      <c r="C54" s="88">
        <v>50</v>
      </c>
      <c r="D54" s="92">
        <f t="shared" si="0"/>
        <v>1.4923611111111106</v>
      </c>
      <c r="E54" s="92">
        <f t="shared" si="1"/>
        <v>0.46180555555555514</v>
      </c>
      <c r="F54" s="92">
        <f>($G$4/('Atsipirkimo vertinimas'!$N$18*12-'Atsipirkimo vertinimas'!$N$20)*H54)</f>
        <v>0.97222222222222221</v>
      </c>
      <c r="G54" s="92">
        <f t="shared" si="7"/>
        <v>184.72222222222206</v>
      </c>
      <c r="H54">
        <f>IF(C54-'Atsipirkimo vertinimas'!$N$20&lt;0,0,1)</f>
        <v>1</v>
      </c>
      <c r="I54" s="92"/>
      <c r="J54" s="92">
        <f t="shared" si="2"/>
        <v>0</v>
      </c>
      <c r="K54" s="92"/>
      <c r="L54" s="88"/>
      <c r="N54" s="88">
        <v>50</v>
      </c>
      <c r="O54" s="92">
        <f t="shared" si="3"/>
        <v>1.3177522437705618</v>
      </c>
      <c r="P54" s="92">
        <f t="shared" si="4"/>
        <v>1.2594189104372284</v>
      </c>
      <c r="Q54" s="92">
        <f t="shared" si="5"/>
        <v>0.47574071299299153</v>
      </c>
      <c r="R54" s="92">
        <f t="shared" si="8"/>
        <v>0.78367819744423683</v>
      </c>
      <c r="S54" s="92">
        <f t="shared" si="9"/>
        <v>190.29628519719662</v>
      </c>
      <c r="T54">
        <f>IF(N54-'Atsipirkimo vertinimas'!$N$20&lt;0,0,1)</f>
        <v>1</v>
      </c>
      <c r="U54">
        <f>IF(N54-'Atsipirkimo vertinimas'!$N$20&gt;=0,0,1)</f>
        <v>0</v>
      </c>
      <c r="V54" s="92"/>
      <c r="W54" s="92">
        <f t="shared" si="6"/>
        <v>0</v>
      </c>
      <c r="X54" s="88"/>
    </row>
    <row r="55" spans="3:26" x14ac:dyDescent="0.25">
      <c r="C55" s="88">
        <v>51</v>
      </c>
      <c r="D55" s="92">
        <f t="shared" si="0"/>
        <v>1.4899305555555551</v>
      </c>
      <c r="E55" s="92">
        <f t="shared" si="1"/>
        <v>0.45937499999999959</v>
      </c>
      <c r="F55" s="92">
        <f>($G$4/('Atsipirkimo vertinimas'!$N$18*12-'Atsipirkimo vertinimas'!$N$20)*H55)</f>
        <v>0.97222222222222221</v>
      </c>
      <c r="G55" s="92">
        <f t="shared" si="7"/>
        <v>183.74999999999983</v>
      </c>
      <c r="H55">
        <f>IF(C55-'Atsipirkimo vertinimas'!$N$20&lt;0,0,1)</f>
        <v>1</v>
      </c>
      <c r="I55" s="92"/>
      <c r="J55" s="92">
        <f t="shared" si="2"/>
        <v>0</v>
      </c>
      <c r="K55" s="92"/>
      <c r="L55" s="88"/>
      <c r="N55" s="88">
        <v>51</v>
      </c>
      <c r="O55" s="92">
        <f t="shared" si="3"/>
        <v>1.3177522437705618</v>
      </c>
      <c r="P55" s="92">
        <f t="shared" si="4"/>
        <v>1.2594189104372284</v>
      </c>
      <c r="Q55" s="92">
        <f t="shared" si="5"/>
        <v>0.47378151749938097</v>
      </c>
      <c r="R55" s="92">
        <f t="shared" si="8"/>
        <v>0.78563739293784751</v>
      </c>
      <c r="S55" s="92">
        <f t="shared" si="9"/>
        <v>189.51260699975239</v>
      </c>
      <c r="T55">
        <f>IF(N55-'Atsipirkimo vertinimas'!$N$20&lt;0,0,1)</f>
        <v>1</v>
      </c>
      <c r="U55">
        <f>IF(N55-'Atsipirkimo vertinimas'!$N$20&gt;=0,0,1)</f>
        <v>0</v>
      </c>
      <c r="V55" s="92"/>
      <c r="W55" s="92">
        <f t="shared" si="6"/>
        <v>0</v>
      </c>
      <c r="X55" s="88"/>
    </row>
    <row r="56" spans="3:26" x14ac:dyDescent="0.25">
      <c r="C56" s="88">
        <v>52</v>
      </c>
      <c r="D56" s="92">
        <f t="shared" si="0"/>
        <v>1.4874999999999996</v>
      </c>
      <c r="E56" s="92">
        <f t="shared" si="1"/>
        <v>0.45694444444444399</v>
      </c>
      <c r="F56" s="92">
        <f>($G$4/('Atsipirkimo vertinimas'!$N$18*12-'Atsipirkimo vertinimas'!$N$20)*H56)</f>
        <v>0.97222222222222221</v>
      </c>
      <c r="G56" s="92">
        <f t="shared" si="7"/>
        <v>182.7777777777776</v>
      </c>
      <c r="H56">
        <f>IF(C56-'Atsipirkimo vertinimas'!$N$20&lt;0,0,1)</f>
        <v>1</v>
      </c>
      <c r="I56" s="92"/>
      <c r="J56" s="92">
        <f t="shared" si="2"/>
        <v>0</v>
      </c>
      <c r="K56" s="92"/>
      <c r="L56" s="88"/>
      <c r="N56" s="88">
        <v>52</v>
      </c>
      <c r="O56" s="92">
        <f t="shared" si="3"/>
        <v>1.3177522437705618</v>
      </c>
      <c r="P56" s="92">
        <f t="shared" si="4"/>
        <v>1.2594189104372284</v>
      </c>
      <c r="Q56" s="92">
        <f t="shared" si="5"/>
        <v>0.47181742401703636</v>
      </c>
      <c r="R56" s="92">
        <f t="shared" si="8"/>
        <v>0.78760148642019212</v>
      </c>
      <c r="S56" s="92">
        <f t="shared" si="9"/>
        <v>188.72696960681455</v>
      </c>
      <c r="T56">
        <f>IF(N56-'Atsipirkimo vertinimas'!$N$20&lt;0,0,1)</f>
        <v>1</v>
      </c>
      <c r="U56">
        <f>IF(N56-'Atsipirkimo vertinimas'!$N$20&gt;=0,0,1)</f>
        <v>0</v>
      </c>
      <c r="V56" s="92"/>
      <c r="W56" s="92">
        <f t="shared" si="6"/>
        <v>0</v>
      </c>
      <c r="X56" s="88"/>
    </row>
    <row r="57" spans="3:26" x14ac:dyDescent="0.25">
      <c r="C57" s="88">
        <v>53</v>
      </c>
      <c r="D57" s="92">
        <f t="shared" si="0"/>
        <v>1.4850694444444439</v>
      </c>
      <c r="E57" s="92">
        <f t="shared" si="1"/>
        <v>0.45451388888888844</v>
      </c>
      <c r="F57" s="92">
        <f>($G$4/('Atsipirkimo vertinimas'!$N$18*12-'Atsipirkimo vertinimas'!$N$20)*H57)</f>
        <v>0.97222222222222221</v>
      </c>
      <c r="G57" s="92">
        <f t="shared" si="7"/>
        <v>181.80555555555537</v>
      </c>
      <c r="H57">
        <f>IF(C57-'Atsipirkimo vertinimas'!$N$20&lt;0,0,1)</f>
        <v>1</v>
      </c>
      <c r="I57" s="92"/>
      <c r="J57" s="92">
        <f t="shared" si="2"/>
        <v>0</v>
      </c>
      <c r="K57" s="92"/>
      <c r="L57" s="88"/>
      <c r="N57" s="88">
        <v>53</v>
      </c>
      <c r="O57" s="92">
        <f t="shared" si="3"/>
        <v>1.3177522437705618</v>
      </c>
      <c r="P57" s="92">
        <f t="shared" si="4"/>
        <v>1.2594189104372284</v>
      </c>
      <c r="Q57" s="92">
        <f t="shared" si="5"/>
        <v>0.46984842030098589</v>
      </c>
      <c r="R57" s="92">
        <f t="shared" si="8"/>
        <v>0.78957049013624259</v>
      </c>
      <c r="S57" s="92">
        <f t="shared" si="9"/>
        <v>187.93936812039436</v>
      </c>
      <c r="T57">
        <f>IF(N57-'Atsipirkimo vertinimas'!$N$20&lt;0,0,1)</f>
        <v>1</v>
      </c>
      <c r="U57">
        <f>IF(N57-'Atsipirkimo vertinimas'!$N$20&gt;=0,0,1)</f>
        <v>0</v>
      </c>
      <c r="V57" s="92"/>
      <c r="W57" s="92">
        <f t="shared" si="6"/>
        <v>0</v>
      </c>
      <c r="X57" s="88"/>
    </row>
    <row r="58" spans="3:26" x14ac:dyDescent="0.25">
      <c r="C58" s="88">
        <v>54</v>
      </c>
      <c r="D58" s="92">
        <f t="shared" si="0"/>
        <v>1.4826388888888884</v>
      </c>
      <c r="E58" s="92">
        <f t="shared" si="1"/>
        <v>0.45208333333333289</v>
      </c>
      <c r="F58" s="92">
        <f>($G$4/('Atsipirkimo vertinimas'!$N$18*12-'Atsipirkimo vertinimas'!$N$20)*H58)</f>
        <v>0.97222222222222221</v>
      </c>
      <c r="G58" s="92">
        <f t="shared" si="7"/>
        <v>180.83333333333314</v>
      </c>
      <c r="H58">
        <f>IF(C58-'Atsipirkimo vertinimas'!$N$20&lt;0,0,1)</f>
        <v>1</v>
      </c>
      <c r="I58" s="92"/>
      <c r="J58" s="92">
        <f t="shared" si="2"/>
        <v>0</v>
      </c>
      <c r="K58" s="92"/>
      <c r="L58" s="88"/>
      <c r="N58" s="88">
        <v>54</v>
      </c>
      <c r="O58" s="92">
        <f t="shared" si="3"/>
        <v>1.3177522437705618</v>
      </c>
      <c r="P58" s="92">
        <f t="shared" si="4"/>
        <v>1.2594189104372284</v>
      </c>
      <c r="Q58" s="92">
        <f t="shared" si="5"/>
        <v>0.46787449407564524</v>
      </c>
      <c r="R58" s="92">
        <f t="shared" si="8"/>
        <v>0.79154441636158324</v>
      </c>
      <c r="S58" s="92">
        <f t="shared" si="9"/>
        <v>187.14979763025812</v>
      </c>
      <c r="T58">
        <f>IF(N58-'Atsipirkimo vertinimas'!$N$20&lt;0,0,1)</f>
        <v>1</v>
      </c>
      <c r="U58">
        <f>IF(N58-'Atsipirkimo vertinimas'!$N$20&gt;=0,0,1)</f>
        <v>0</v>
      </c>
      <c r="V58" s="92"/>
      <c r="W58" s="92">
        <f t="shared" si="6"/>
        <v>0</v>
      </c>
      <c r="X58" s="88"/>
    </row>
    <row r="59" spans="3:26" x14ac:dyDescent="0.25">
      <c r="C59" s="88">
        <v>55</v>
      </c>
      <c r="D59" s="92">
        <f t="shared" si="0"/>
        <v>1.4802083333333329</v>
      </c>
      <c r="E59" s="92">
        <f t="shared" si="1"/>
        <v>0.44965277777777724</v>
      </c>
      <c r="F59" s="92">
        <f>($G$4/('Atsipirkimo vertinimas'!$N$18*12-'Atsipirkimo vertinimas'!$N$20)*H59)</f>
        <v>0.97222222222222221</v>
      </c>
      <c r="G59" s="92">
        <f t="shared" si="7"/>
        <v>179.86111111111092</v>
      </c>
      <c r="H59">
        <f>IF(C59-'Atsipirkimo vertinimas'!$N$20&lt;0,0,1)</f>
        <v>1</v>
      </c>
      <c r="I59" s="92"/>
      <c r="J59" s="92">
        <f t="shared" si="2"/>
        <v>0</v>
      </c>
      <c r="K59" s="92"/>
      <c r="L59" s="88"/>
      <c r="N59" s="88">
        <v>55</v>
      </c>
      <c r="O59" s="92">
        <f t="shared" si="3"/>
        <v>1.3177522437705618</v>
      </c>
      <c r="P59" s="92">
        <f t="shared" si="4"/>
        <v>1.2594189104372284</v>
      </c>
      <c r="Q59" s="92">
        <f t="shared" si="5"/>
        <v>0.4658956330347413</v>
      </c>
      <c r="R59" s="92">
        <f t="shared" si="8"/>
        <v>0.79352327740248718</v>
      </c>
      <c r="S59" s="92">
        <f t="shared" si="9"/>
        <v>186.35825321389655</v>
      </c>
      <c r="T59">
        <f>IF(N59-'Atsipirkimo vertinimas'!$N$20&lt;0,0,1)</f>
        <v>1</v>
      </c>
      <c r="U59">
        <f>IF(N59-'Atsipirkimo vertinimas'!$N$20&gt;=0,0,1)</f>
        <v>0</v>
      </c>
      <c r="V59" s="92"/>
      <c r="W59" s="92">
        <f t="shared" si="6"/>
        <v>0</v>
      </c>
      <c r="X59" s="88"/>
    </row>
    <row r="60" spans="3:26" x14ac:dyDescent="0.25">
      <c r="C60" s="88">
        <v>56</v>
      </c>
      <c r="D60" s="92">
        <f t="shared" si="0"/>
        <v>1.4777777777777772</v>
      </c>
      <c r="E60" s="92">
        <f t="shared" si="1"/>
        <v>0.44722222222222169</v>
      </c>
      <c r="F60" s="92">
        <f>($G$4/('Atsipirkimo vertinimas'!$N$18*12-'Atsipirkimo vertinimas'!$N$20)*H60)</f>
        <v>0.97222222222222221</v>
      </c>
      <c r="G60" s="92">
        <f t="shared" si="7"/>
        <v>178.88888888888869</v>
      </c>
      <c r="H60">
        <f>IF(C60-'Atsipirkimo vertinimas'!$N$20&lt;0,0,1)</f>
        <v>1</v>
      </c>
      <c r="I60" s="92"/>
      <c r="J60" s="92">
        <f t="shared" si="2"/>
        <v>0</v>
      </c>
      <c r="K60" s="92"/>
      <c r="L60" s="88"/>
      <c r="N60" s="88">
        <v>56</v>
      </c>
      <c r="O60" s="92">
        <f t="shared" si="3"/>
        <v>1.3177522437705618</v>
      </c>
      <c r="P60" s="92">
        <f t="shared" si="4"/>
        <v>1.2594189104372284</v>
      </c>
      <c r="Q60" s="92">
        <f t="shared" si="5"/>
        <v>0.46391182484123511</v>
      </c>
      <c r="R60" s="92">
        <f t="shared" si="8"/>
        <v>0.79550708559599337</v>
      </c>
      <c r="S60" s="92">
        <f t="shared" si="9"/>
        <v>185.56472993649405</v>
      </c>
      <c r="T60">
        <f>IF(N60-'Atsipirkimo vertinimas'!$N$20&lt;0,0,1)</f>
        <v>1</v>
      </c>
      <c r="U60">
        <f>IF(N60-'Atsipirkimo vertinimas'!$N$20&gt;=0,0,1)</f>
        <v>0</v>
      </c>
      <c r="V60" s="92"/>
      <c r="W60" s="92">
        <f t="shared" si="6"/>
        <v>0</v>
      </c>
      <c r="X60" s="88"/>
    </row>
    <row r="61" spans="3:26" x14ac:dyDescent="0.25">
      <c r="C61" s="88">
        <v>57</v>
      </c>
      <c r="D61" s="92">
        <f t="shared" si="0"/>
        <v>1.4753472222222217</v>
      </c>
      <c r="E61" s="92">
        <f t="shared" si="1"/>
        <v>0.44479166666666609</v>
      </c>
      <c r="F61" s="92">
        <f>($G$4/('Atsipirkimo vertinimas'!$N$18*12-'Atsipirkimo vertinimas'!$N$20)*H61)</f>
        <v>0.97222222222222221</v>
      </c>
      <c r="G61" s="92">
        <f t="shared" si="7"/>
        <v>177.91666666666646</v>
      </c>
      <c r="H61">
        <f>IF(C61-'Atsipirkimo vertinimas'!$N$20&lt;0,0,1)</f>
        <v>1</v>
      </c>
      <c r="I61" s="92"/>
      <c r="J61" s="92">
        <f t="shared" si="2"/>
        <v>0</v>
      </c>
      <c r="K61" s="92"/>
      <c r="L61" s="88"/>
      <c r="N61" s="88">
        <v>57</v>
      </c>
      <c r="O61" s="92">
        <f t="shared" si="3"/>
        <v>1.3177522437705618</v>
      </c>
      <c r="P61" s="92">
        <f t="shared" si="4"/>
        <v>1.2594189104372284</v>
      </c>
      <c r="Q61" s="92">
        <f t="shared" si="5"/>
        <v>0.46192305712724507</v>
      </c>
      <c r="R61" s="92">
        <f t="shared" si="8"/>
        <v>0.7974958533099834</v>
      </c>
      <c r="S61" s="92">
        <f t="shared" si="9"/>
        <v>184.76922285089805</v>
      </c>
      <c r="T61">
        <f>IF(N61-'Atsipirkimo vertinimas'!$N$20&lt;0,0,1)</f>
        <v>1</v>
      </c>
      <c r="U61">
        <f>IF(N61-'Atsipirkimo vertinimas'!$N$20&gt;=0,0,1)</f>
        <v>0</v>
      </c>
      <c r="V61" s="92"/>
      <c r="W61" s="92">
        <f t="shared" si="6"/>
        <v>0</v>
      </c>
      <c r="X61" s="88"/>
    </row>
    <row r="62" spans="3:26" x14ac:dyDescent="0.25">
      <c r="C62" s="88">
        <v>58</v>
      </c>
      <c r="D62" s="92">
        <f t="shared" si="0"/>
        <v>1.4729166666666662</v>
      </c>
      <c r="E62" s="92">
        <f t="shared" si="1"/>
        <v>0.44236111111111054</v>
      </c>
      <c r="F62" s="92">
        <f>($G$4/('Atsipirkimo vertinimas'!$N$18*12-'Atsipirkimo vertinimas'!$N$20)*H62)</f>
        <v>0.97222222222222221</v>
      </c>
      <c r="G62" s="92">
        <f t="shared" si="7"/>
        <v>176.94444444444423</v>
      </c>
      <c r="H62">
        <f>IF(C62-'Atsipirkimo vertinimas'!$N$20&lt;0,0,1)</f>
        <v>1</v>
      </c>
      <c r="I62" s="92"/>
      <c r="J62" s="92">
        <f t="shared" si="2"/>
        <v>0</v>
      </c>
      <c r="K62" s="92"/>
      <c r="L62" s="88"/>
      <c r="N62" s="88">
        <v>58</v>
      </c>
      <c r="O62" s="92">
        <f t="shared" si="3"/>
        <v>1.3177522437705618</v>
      </c>
      <c r="P62" s="92">
        <f t="shared" si="4"/>
        <v>1.2594189104372284</v>
      </c>
      <c r="Q62" s="92">
        <f t="shared" si="5"/>
        <v>0.45992931749397009</v>
      </c>
      <c r="R62" s="92">
        <f t="shared" si="8"/>
        <v>0.79948959294325839</v>
      </c>
      <c r="S62" s="92">
        <f t="shared" si="9"/>
        <v>183.97172699758806</v>
      </c>
      <c r="T62">
        <f>IF(N62-'Atsipirkimo vertinimas'!$N$20&lt;0,0,1)</f>
        <v>1</v>
      </c>
      <c r="U62">
        <f>IF(N62-'Atsipirkimo vertinimas'!$N$20&gt;=0,0,1)</f>
        <v>0</v>
      </c>
      <c r="V62" s="92"/>
      <c r="W62" s="92">
        <f t="shared" si="6"/>
        <v>0</v>
      </c>
      <c r="X62" s="88"/>
    </row>
    <row r="63" spans="3:26" ht="30" x14ac:dyDescent="0.25">
      <c r="C63" s="88">
        <v>59</v>
      </c>
      <c r="D63" s="92">
        <f t="shared" si="0"/>
        <v>1.4704861111111105</v>
      </c>
      <c r="E63" s="92">
        <f t="shared" si="1"/>
        <v>0.43993055555555499</v>
      </c>
      <c r="F63" s="92">
        <f>($G$4/('Atsipirkimo vertinimas'!$N$18*12-'Atsipirkimo vertinimas'!$N$20)*H63)</f>
        <v>0.97222222222222221</v>
      </c>
      <c r="G63" s="92">
        <f t="shared" si="7"/>
        <v>175.972222222222</v>
      </c>
      <c r="H63">
        <f>IF(C63-'Atsipirkimo vertinimas'!$N$20&lt;0,0,1)</f>
        <v>1</v>
      </c>
      <c r="I63" s="92"/>
      <c r="J63" s="92">
        <f t="shared" si="2"/>
        <v>0</v>
      </c>
      <c r="K63" s="92"/>
      <c r="L63" s="91">
        <f>IF('Atsipirkimo vertinimas'!$N$18*12&gt;Grafikas!C63,SUM(D52:D63),0)</f>
        <v>17.806249999999995</v>
      </c>
      <c r="N63" s="88">
        <v>59</v>
      </c>
      <c r="O63" s="92">
        <f t="shared" si="3"/>
        <v>1.3177522437705618</v>
      </c>
      <c r="P63" s="92">
        <f t="shared" si="4"/>
        <v>1.2594189104372284</v>
      </c>
      <c r="Q63" s="92">
        <f t="shared" si="5"/>
        <v>0.45793059351161203</v>
      </c>
      <c r="R63" s="92">
        <f t="shared" si="8"/>
        <v>0.8014883169256164</v>
      </c>
      <c r="S63" s="92">
        <f t="shared" si="9"/>
        <v>183.17223740464482</v>
      </c>
      <c r="T63">
        <f>IF(N63-'Atsipirkimo vertinimas'!$N$20&lt;0,0,1)</f>
        <v>1</v>
      </c>
      <c r="U63">
        <f>IF(N63-'Atsipirkimo vertinimas'!$N$20&gt;=0,0,1)</f>
        <v>0</v>
      </c>
      <c r="V63" s="92"/>
      <c r="W63" s="92">
        <f t="shared" si="6"/>
        <v>0</v>
      </c>
      <c r="X63" s="91">
        <f>IF('Atsipirkimo vertinimas'!$N$18*12&gt;Grafikas!C63,SUM(O52:O63),0)</f>
        <v>15.81302692524674</v>
      </c>
      <c r="Z63" s="93" t="s">
        <v>241</v>
      </c>
    </row>
    <row r="64" spans="3:26" x14ac:dyDescent="0.25">
      <c r="C64" s="88">
        <v>60</v>
      </c>
      <c r="D64" s="92">
        <f t="shared" si="0"/>
        <v>1.7451388888888879</v>
      </c>
      <c r="E64" s="92">
        <f>IF(H64=0,0,G64*('Atsipirkimo vertinimas'!$N$19)/12)</f>
        <v>0.71458333333333235</v>
      </c>
      <c r="F64" s="92">
        <f>($G$4/('Atsipirkimo vertinimas'!$N$18*12-'Atsipirkimo vertinimas'!$N$20)*H64)</f>
        <v>0.97222222222222221</v>
      </c>
      <c r="G64" s="92">
        <f t="shared" si="7"/>
        <v>174.99999999999977</v>
      </c>
      <c r="H64">
        <f>IF(C64-'Atsipirkimo vertinimas'!$N$20&lt;0,0,1)</f>
        <v>1</v>
      </c>
      <c r="I64" s="92"/>
      <c r="J64" s="92">
        <f t="shared" si="2"/>
        <v>0</v>
      </c>
      <c r="K64" s="92"/>
      <c r="L64" s="88"/>
      <c r="N64" s="88">
        <v>60</v>
      </c>
      <c r="O64" s="92">
        <f t="shared" si="3"/>
        <v>1.4910273929271436</v>
      </c>
      <c r="P64" s="92">
        <f>IF($Z$64&lt;S64+(S64*(('Atsipirkimo vertinimas'!$N$19)/12)),($Z$64*T64)+(Q64*U64),S64+(S64*(('Atsipirkimo vertinimas'!$N$19)/12)))</f>
        <v>1.4326940595938102</v>
      </c>
      <c r="Q64" s="92">
        <f>IF(T64=0,0,S64*('Atsipirkimo vertinimas'!$N$19)/12)</f>
        <v>0.7446805587748534</v>
      </c>
      <c r="R64" s="92">
        <f>(P64-Q64)*T64</f>
        <v>0.68801350081895685</v>
      </c>
      <c r="S64" s="92">
        <f>(S63-R63)</f>
        <v>182.37074908771919</v>
      </c>
      <c r="T64">
        <f>IF(N64-'Atsipirkimo vertinimas'!$N$20&lt;0,0,1)</f>
        <v>1</v>
      </c>
      <c r="U64">
        <f>IF(N64-'Atsipirkimo vertinimas'!$N$20&gt;=0,0,1)</f>
        <v>0</v>
      </c>
      <c r="V64" s="92"/>
      <c r="W64" s="92">
        <f t="shared" si="6"/>
        <v>0</v>
      </c>
      <c r="X64" s="88"/>
      <c r="Z64" s="94">
        <f>-PMT(('Atsipirkimo vertinimas'!$N$19)/12,'Atsipirkimo vertinimas'!$N$18*12-60,S64,0,0)</f>
        <v>1.4326940595938102</v>
      </c>
    </row>
    <row r="65" spans="3:24" x14ac:dyDescent="0.25">
      <c r="C65" s="88">
        <v>61</v>
      </c>
      <c r="D65" s="92">
        <f t="shared" si="0"/>
        <v>1.7411689814814806</v>
      </c>
      <c r="E65" s="92">
        <f>IF(H65=0,0,G65*('Atsipirkimo vertinimas'!$N$19)/12)</f>
        <v>0.71061342592592502</v>
      </c>
      <c r="F65" s="92">
        <f>($G$4/('Atsipirkimo vertinimas'!$N$18*12-'Atsipirkimo vertinimas'!$N$20)*H65)</f>
        <v>0.97222222222222221</v>
      </c>
      <c r="G65" s="92">
        <f t="shared" si="7"/>
        <v>174.02777777777754</v>
      </c>
      <c r="H65">
        <f>IF(C65-'Atsipirkimo vertinimas'!$N$20&lt;0,0,1)</f>
        <v>1</v>
      </c>
      <c r="I65" s="92"/>
      <c r="J65" s="92">
        <f t="shared" si="2"/>
        <v>0</v>
      </c>
      <c r="K65" s="92"/>
      <c r="L65" s="88"/>
      <c r="N65" s="88">
        <v>61</v>
      </c>
      <c r="O65" s="92">
        <f t="shared" si="3"/>
        <v>1.4910273929271436</v>
      </c>
      <c r="P65" s="92">
        <f>IF($Z$64&lt;S65+(S65*(('Atsipirkimo vertinimas'!$N$19)/12)),($Z$64*T65)+(Q65*U65),S65+(S65*(('Atsipirkimo vertinimas'!$N$19)/12)))</f>
        <v>1.4326940595938102</v>
      </c>
      <c r="Q65" s="92">
        <f>IF(T65=0,0,S65*('Atsipirkimo vertinimas'!$N$19)/12)</f>
        <v>0.74187117031317606</v>
      </c>
      <c r="R65" s="92">
        <f t="shared" si="8"/>
        <v>0.69082288928063418</v>
      </c>
      <c r="S65" s="92">
        <f t="shared" si="9"/>
        <v>181.68273558690024</v>
      </c>
      <c r="T65">
        <f>IF(N65-'Atsipirkimo vertinimas'!$N$20&lt;0,0,1)</f>
        <v>1</v>
      </c>
      <c r="U65">
        <f>IF(N65-'Atsipirkimo vertinimas'!$N$20&gt;=0,0,1)</f>
        <v>0</v>
      </c>
      <c r="V65" s="92"/>
      <c r="W65" s="92">
        <f t="shared" si="6"/>
        <v>0</v>
      </c>
      <c r="X65" s="88"/>
    </row>
    <row r="66" spans="3:24" x14ac:dyDescent="0.25">
      <c r="C66" s="88">
        <v>62</v>
      </c>
      <c r="D66" s="92">
        <f t="shared" si="0"/>
        <v>1.7371990740740733</v>
      </c>
      <c r="E66" s="92">
        <f>IF(H66=0,0,G66*('Atsipirkimo vertinimas'!$N$19)/12)</f>
        <v>0.70664351851851759</v>
      </c>
      <c r="F66" s="92">
        <f>($G$4/('Atsipirkimo vertinimas'!$N$18*12-'Atsipirkimo vertinimas'!$N$20)*H66)</f>
        <v>0.97222222222222221</v>
      </c>
      <c r="G66" s="92">
        <f t="shared" si="7"/>
        <v>173.05555555555532</v>
      </c>
      <c r="H66">
        <f>IF(C66-'Atsipirkimo vertinimas'!$N$20&lt;0,0,1)</f>
        <v>1</v>
      </c>
      <c r="I66" s="92"/>
      <c r="J66" s="92">
        <f t="shared" si="2"/>
        <v>0</v>
      </c>
      <c r="K66" s="92"/>
      <c r="L66" s="88"/>
      <c r="N66" s="88">
        <v>62</v>
      </c>
      <c r="O66" s="92">
        <f t="shared" si="3"/>
        <v>1.4910273929271436</v>
      </c>
      <c r="P66" s="92">
        <f>IF($Z$64&lt;S66+(S66*(('Atsipirkimo vertinimas'!$N$19)/12)),($Z$64*T66)+(Q66*U66),S66+(S66*(('Atsipirkimo vertinimas'!$N$19)/12)))</f>
        <v>1.4326940595938102</v>
      </c>
      <c r="Q66" s="92">
        <f>IF(T66=0,0,S66*('Atsipirkimo vertinimas'!$N$19)/12)</f>
        <v>0.73905031018194667</v>
      </c>
      <c r="R66" s="92">
        <f t="shared" si="8"/>
        <v>0.69364374941186357</v>
      </c>
      <c r="S66" s="92">
        <f t="shared" si="9"/>
        <v>180.9919126976196</v>
      </c>
      <c r="T66">
        <f>IF(N66-'Atsipirkimo vertinimas'!$N$20&lt;0,0,1)</f>
        <v>1</v>
      </c>
      <c r="U66">
        <f>IF(N66-'Atsipirkimo vertinimas'!$N$20&gt;=0,0,1)</f>
        <v>0</v>
      </c>
      <c r="V66" s="92"/>
      <c r="W66" s="92">
        <f t="shared" si="6"/>
        <v>0</v>
      </c>
      <c r="X66" s="88"/>
    </row>
    <row r="67" spans="3:24" x14ac:dyDescent="0.25">
      <c r="C67" s="88">
        <v>63</v>
      </c>
      <c r="D67" s="92">
        <f t="shared" si="0"/>
        <v>1.7332291666666657</v>
      </c>
      <c r="E67" s="92">
        <f>IF(H67=0,0,G67*('Atsipirkimo vertinimas'!$N$19)/12)</f>
        <v>0.70267361111111015</v>
      </c>
      <c r="F67" s="92">
        <f>($G$4/('Atsipirkimo vertinimas'!$N$18*12-'Atsipirkimo vertinimas'!$N$20)*H67)</f>
        <v>0.97222222222222221</v>
      </c>
      <c r="G67" s="92">
        <f t="shared" si="7"/>
        <v>172.08333333333309</v>
      </c>
      <c r="H67">
        <f>IF(C67-'Atsipirkimo vertinimas'!$N$20&lt;0,0,1)</f>
        <v>1</v>
      </c>
      <c r="I67" s="92"/>
      <c r="J67" s="92">
        <f t="shared" si="2"/>
        <v>0</v>
      </c>
      <c r="K67" s="92"/>
      <c r="L67" s="88"/>
      <c r="N67" s="88">
        <v>63</v>
      </c>
      <c r="O67" s="92">
        <f t="shared" si="3"/>
        <v>1.4910273929271436</v>
      </c>
      <c r="P67" s="92">
        <f>IF($Z$64&lt;S67+(S67*(('Atsipirkimo vertinimas'!$N$19)/12)),($Z$64*T67)+(Q67*U67),S67+(S67*(('Atsipirkimo vertinimas'!$N$19)/12)))</f>
        <v>1.4326940595938102</v>
      </c>
      <c r="Q67" s="92">
        <f>IF(T67=0,0,S67*('Atsipirkimo vertinimas'!$N$19)/12)</f>
        <v>0.73621793153851478</v>
      </c>
      <c r="R67" s="92">
        <f t="shared" si="8"/>
        <v>0.69647612805529546</v>
      </c>
      <c r="S67" s="92">
        <f t="shared" si="9"/>
        <v>180.29826894820772</v>
      </c>
      <c r="T67">
        <f>IF(N67-'Atsipirkimo vertinimas'!$N$20&lt;0,0,1)</f>
        <v>1</v>
      </c>
      <c r="U67">
        <f>IF(N67-'Atsipirkimo vertinimas'!$N$20&gt;=0,0,1)</f>
        <v>0</v>
      </c>
      <c r="V67" s="92"/>
      <c r="W67" s="92">
        <f t="shared" si="6"/>
        <v>0</v>
      </c>
      <c r="X67" s="88"/>
    </row>
    <row r="68" spans="3:24" x14ac:dyDescent="0.25">
      <c r="C68" s="88">
        <v>64</v>
      </c>
      <c r="D68" s="92">
        <f t="shared" si="0"/>
        <v>1.7292592592592582</v>
      </c>
      <c r="E68" s="92">
        <f>IF(H68=0,0,G68*('Atsipirkimo vertinimas'!$N$19)/12)</f>
        <v>0.69870370370370261</v>
      </c>
      <c r="F68" s="92">
        <f>($G$4/('Atsipirkimo vertinimas'!$N$18*12-'Atsipirkimo vertinimas'!$N$20)*H68)</f>
        <v>0.97222222222222221</v>
      </c>
      <c r="G68" s="92">
        <f t="shared" si="7"/>
        <v>171.11111111111086</v>
      </c>
      <c r="H68">
        <f>IF(C68-'Atsipirkimo vertinimas'!$N$20&lt;0,0,1)</f>
        <v>1</v>
      </c>
      <c r="I68" s="92"/>
      <c r="J68" s="92">
        <f t="shared" si="2"/>
        <v>0</v>
      </c>
      <c r="K68" s="92"/>
      <c r="L68" s="88"/>
      <c r="N68" s="88">
        <v>64</v>
      </c>
      <c r="O68" s="92">
        <f t="shared" si="3"/>
        <v>1.4910273929271436</v>
      </c>
      <c r="P68" s="92">
        <f>IF($Z$64&lt;S68+(S68*(('Atsipirkimo vertinimas'!$N$19)/12)),($Z$64*T68)+(Q68*U68),S68+(S68*(('Atsipirkimo vertinimas'!$N$19)/12)))</f>
        <v>1.4326940595938102</v>
      </c>
      <c r="Q68" s="92">
        <f>IF(T68=0,0,S68*('Atsipirkimo vertinimas'!$N$19)/12)</f>
        <v>0.73337398734895576</v>
      </c>
      <c r="R68" s="92">
        <f t="shared" si="8"/>
        <v>0.69932007224485448</v>
      </c>
      <c r="S68" s="92">
        <f t="shared" si="9"/>
        <v>179.60179282015241</v>
      </c>
      <c r="T68">
        <f>IF(N68-'Atsipirkimo vertinimas'!$N$20&lt;0,0,1)</f>
        <v>1</v>
      </c>
      <c r="U68">
        <f>IF(N68-'Atsipirkimo vertinimas'!$N$20&gt;=0,0,1)</f>
        <v>0</v>
      </c>
      <c r="V68" s="92"/>
      <c r="W68" s="92">
        <f t="shared" si="6"/>
        <v>0</v>
      </c>
      <c r="X68" s="88"/>
    </row>
    <row r="69" spans="3:24" x14ac:dyDescent="0.25">
      <c r="C69" s="88">
        <v>65</v>
      </c>
      <c r="D69" s="92">
        <f t="shared" ref="D69:D132" si="10">IF(H69=0,E69+F69,E69+F69+$K$4)</f>
        <v>1.7252893518518508</v>
      </c>
      <c r="E69" s="92">
        <f>IF(H69=0,0,G69*('Atsipirkimo vertinimas'!$N$19)/12)</f>
        <v>0.69473379629629528</v>
      </c>
      <c r="F69" s="92">
        <f>($G$4/('Atsipirkimo vertinimas'!$N$18*12-'Atsipirkimo vertinimas'!$N$20)*H69)</f>
        <v>0.97222222222222221</v>
      </c>
      <c r="G69" s="92">
        <f t="shared" si="7"/>
        <v>170.13888888888863</v>
      </c>
      <c r="H69">
        <f>IF(C69-'Atsipirkimo vertinimas'!$N$20&lt;0,0,1)</f>
        <v>1</v>
      </c>
      <c r="I69" s="92"/>
      <c r="J69" s="92">
        <f t="shared" ref="J69:J132" si="11">IF(H69=0,G69*(0.03)/12,0)</f>
        <v>0</v>
      </c>
      <c r="K69" s="92"/>
      <c r="L69" s="88"/>
      <c r="N69" s="88">
        <v>65</v>
      </c>
      <c r="O69" s="92">
        <f t="shared" ref="O69:O132" si="12">IF(T69=0,0,($X$4+P69))</f>
        <v>1.4910273929271436</v>
      </c>
      <c r="P69" s="92">
        <f>IF($Z$64&lt;S69+(S69*(('Atsipirkimo vertinimas'!$N$19)/12)),($Z$64*T69)+(Q69*U69),S69+(S69*(('Atsipirkimo vertinimas'!$N$19)/12)))</f>
        <v>1.4326940595938102</v>
      </c>
      <c r="Q69" s="92">
        <f>IF(T69=0,0,S69*('Atsipirkimo vertinimas'!$N$19)/12)</f>
        <v>0.73051843038728925</v>
      </c>
      <c r="R69" s="92">
        <f t="shared" si="8"/>
        <v>0.70217562920652099</v>
      </c>
      <c r="S69" s="92">
        <f t="shared" si="9"/>
        <v>178.90247274790755</v>
      </c>
      <c r="T69">
        <f>IF(N69-'Atsipirkimo vertinimas'!$N$20&lt;0,0,1)</f>
        <v>1</v>
      </c>
      <c r="U69">
        <f>IF(N69-'Atsipirkimo vertinimas'!$N$20&gt;=0,0,1)</f>
        <v>0</v>
      </c>
      <c r="V69" s="92"/>
      <c r="W69" s="92">
        <f t="shared" ref="W69:W132" si="13">IF(T69=0,S69*(0.03)/12,0)</f>
        <v>0</v>
      </c>
      <c r="X69" s="88"/>
    </row>
    <row r="70" spans="3:24" x14ac:dyDescent="0.25">
      <c r="C70" s="88">
        <v>66</v>
      </c>
      <c r="D70" s="92">
        <f t="shared" si="10"/>
        <v>1.7213194444444435</v>
      </c>
      <c r="E70" s="92">
        <f>IF(H70=0,0,G70*('Atsipirkimo vertinimas'!$N$19)/12)</f>
        <v>0.69076388888888784</v>
      </c>
      <c r="F70" s="92">
        <f>($G$4/('Atsipirkimo vertinimas'!$N$18*12-'Atsipirkimo vertinimas'!$N$20)*H70)</f>
        <v>0.97222222222222221</v>
      </c>
      <c r="G70" s="92">
        <f t="shared" ref="G70:G133" si="14">(G69-F69)</f>
        <v>169.1666666666664</v>
      </c>
      <c r="H70">
        <f>IF(C70-'Atsipirkimo vertinimas'!$N$20&lt;0,0,1)</f>
        <v>1</v>
      </c>
      <c r="I70" s="92"/>
      <c r="J70" s="92">
        <f t="shared" si="11"/>
        <v>0</v>
      </c>
      <c r="K70" s="92"/>
      <c r="L70" s="88"/>
      <c r="N70" s="88">
        <v>66</v>
      </c>
      <c r="O70" s="92">
        <f t="shared" si="12"/>
        <v>1.4910273929271436</v>
      </c>
      <c r="P70" s="92">
        <f>IF($Z$64&lt;S70+(S70*(('Atsipirkimo vertinimas'!$N$19)/12)),($Z$64*T70)+(Q70*U70),S70+(S70*(('Atsipirkimo vertinimas'!$N$19)/12)))</f>
        <v>1.4326940595938102</v>
      </c>
      <c r="Q70" s="92">
        <f>IF(T70=0,0,S70*('Atsipirkimo vertinimas'!$N$19)/12)</f>
        <v>0.72765121323469595</v>
      </c>
      <c r="R70" s="92">
        <f t="shared" ref="R70:R133" si="15">(P70-Q70)*T70</f>
        <v>0.70504284635911429</v>
      </c>
      <c r="S70" s="92">
        <f t="shared" ref="S70:S133" si="16">(S69-R69)</f>
        <v>178.20029711870103</v>
      </c>
      <c r="T70">
        <f>IF(N70-'Atsipirkimo vertinimas'!$N$20&lt;0,0,1)</f>
        <v>1</v>
      </c>
      <c r="U70">
        <f>IF(N70-'Atsipirkimo vertinimas'!$N$20&gt;=0,0,1)</f>
        <v>0</v>
      </c>
      <c r="V70" s="92"/>
      <c r="W70" s="92">
        <f t="shared" si="13"/>
        <v>0</v>
      </c>
      <c r="X70" s="88"/>
    </row>
    <row r="71" spans="3:24" x14ac:dyDescent="0.25">
      <c r="C71" s="88">
        <v>67</v>
      </c>
      <c r="D71" s="92">
        <f t="shared" si="10"/>
        <v>1.717349537037036</v>
      </c>
      <c r="E71" s="92">
        <f>IF(H71=0,0,G71*('Atsipirkimo vertinimas'!$N$19)/12)</f>
        <v>0.68679398148148041</v>
      </c>
      <c r="F71" s="92">
        <f>($G$4/('Atsipirkimo vertinimas'!$N$18*12-'Atsipirkimo vertinimas'!$N$20)*H71)</f>
        <v>0.97222222222222221</v>
      </c>
      <c r="G71" s="92">
        <f t="shared" si="14"/>
        <v>168.19444444444417</v>
      </c>
      <c r="H71">
        <f>IF(C71-'Atsipirkimo vertinimas'!$N$20&lt;0,0,1)</f>
        <v>1</v>
      </c>
      <c r="I71" s="92"/>
      <c r="J71" s="92">
        <f t="shared" si="11"/>
        <v>0</v>
      </c>
      <c r="K71" s="92"/>
      <c r="L71" s="88"/>
      <c r="N71" s="88">
        <v>67</v>
      </c>
      <c r="O71" s="92">
        <f t="shared" si="12"/>
        <v>1.4910273929271436</v>
      </c>
      <c r="P71" s="92">
        <f>IF($Z$64&lt;S71+(S71*(('Atsipirkimo vertinimas'!$N$19)/12)),($Z$64*T71)+(Q71*U71),S71+(S71*(('Atsipirkimo vertinimas'!$N$19)/12)))</f>
        <v>1.4326940595938102</v>
      </c>
      <c r="Q71" s="92">
        <f>IF(T71=0,0,S71*('Atsipirkimo vertinimas'!$N$19)/12)</f>
        <v>0.72477228827872953</v>
      </c>
      <c r="R71" s="92">
        <f t="shared" si="15"/>
        <v>0.70792177131508072</v>
      </c>
      <c r="S71" s="92">
        <f t="shared" si="16"/>
        <v>177.49525427234192</v>
      </c>
      <c r="T71">
        <f>IF(N71-'Atsipirkimo vertinimas'!$N$20&lt;0,0,1)</f>
        <v>1</v>
      </c>
      <c r="U71">
        <f>IF(N71-'Atsipirkimo vertinimas'!$N$20&gt;=0,0,1)</f>
        <v>0</v>
      </c>
      <c r="V71" s="92"/>
      <c r="W71" s="92">
        <f t="shared" si="13"/>
        <v>0</v>
      </c>
      <c r="X71" s="88"/>
    </row>
    <row r="72" spans="3:24" x14ac:dyDescent="0.25">
      <c r="C72" s="88">
        <v>68</v>
      </c>
      <c r="D72" s="92">
        <f t="shared" si="10"/>
        <v>1.7133796296296284</v>
      </c>
      <c r="E72" s="92">
        <f>IF(H72=0,0,G72*('Atsipirkimo vertinimas'!$N$19)/12)</f>
        <v>0.68282407407407286</v>
      </c>
      <c r="F72" s="92">
        <f>($G$4/('Atsipirkimo vertinimas'!$N$18*12-'Atsipirkimo vertinimas'!$N$20)*H72)</f>
        <v>0.97222222222222221</v>
      </c>
      <c r="G72" s="92">
        <f t="shared" si="14"/>
        <v>167.22222222222194</v>
      </c>
      <c r="H72">
        <f>IF(C72-'Atsipirkimo vertinimas'!$N$20&lt;0,0,1)</f>
        <v>1</v>
      </c>
      <c r="I72" s="92"/>
      <c r="J72" s="92">
        <f t="shared" si="11"/>
        <v>0</v>
      </c>
      <c r="K72" s="92"/>
      <c r="L72" s="88"/>
      <c r="N72" s="88">
        <v>68</v>
      </c>
      <c r="O72" s="92">
        <f t="shared" si="12"/>
        <v>1.4910273929271436</v>
      </c>
      <c r="P72" s="92">
        <f>IF($Z$64&lt;S72+(S72*(('Atsipirkimo vertinimas'!$N$19)/12)),($Z$64*T72)+(Q72*U72),S72+(S72*(('Atsipirkimo vertinimas'!$N$19)/12)))</f>
        <v>1.4326940595938102</v>
      </c>
      <c r="Q72" s="92">
        <f>IF(T72=0,0,S72*('Atsipirkimo vertinimas'!$N$19)/12)</f>
        <v>0.7218816077125263</v>
      </c>
      <c r="R72" s="92">
        <f t="shared" si="15"/>
        <v>0.71081245188128395</v>
      </c>
      <c r="S72" s="92">
        <f t="shared" si="16"/>
        <v>176.78733250102684</v>
      </c>
      <c r="T72">
        <f>IF(N72-'Atsipirkimo vertinimas'!$N$20&lt;0,0,1)</f>
        <v>1</v>
      </c>
      <c r="U72">
        <f>IF(N72-'Atsipirkimo vertinimas'!$N$20&gt;=0,0,1)</f>
        <v>0</v>
      </c>
      <c r="V72" s="92"/>
      <c r="W72" s="92">
        <f t="shared" si="13"/>
        <v>0</v>
      </c>
      <c r="X72" s="88"/>
    </row>
    <row r="73" spans="3:24" x14ac:dyDescent="0.25">
      <c r="C73" s="88">
        <v>69</v>
      </c>
      <c r="D73" s="92">
        <f t="shared" si="10"/>
        <v>1.7094097222222211</v>
      </c>
      <c r="E73" s="92">
        <f>IF(H73=0,0,G73*('Atsipirkimo vertinimas'!$N$19)/12)</f>
        <v>0.67885416666666554</v>
      </c>
      <c r="F73" s="92">
        <f>($G$4/('Atsipirkimo vertinimas'!$N$18*12-'Atsipirkimo vertinimas'!$N$20)*H73)</f>
        <v>0.97222222222222221</v>
      </c>
      <c r="G73" s="92">
        <f t="shared" si="14"/>
        <v>166.24999999999972</v>
      </c>
      <c r="H73">
        <f>IF(C73-'Atsipirkimo vertinimas'!$N$20&lt;0,0,1)</f>
        <v>1</v>
      </c>
      <c r="I73" s="92"/>
      <c r="J73" s="92">
        <f t="shared" si="11"/>
        <v>0</v>
      </c>
      <c r="K73" s="92"/>
      <c r="L73" s="88"/>
      <c r="N73" s="88">
        <v>69</v>
      </c>
      <c r="O73" s="92">
        <f t="shared" si="12"/>
        <v>1.4910273929271436</v>
      </c>
      <c r="P73" s="92">
        <f>IF($Z$64&lt;S73+(S73*(('Atsipirkimo vertinimas'!$N$19)/12)),($Z$64*T73)+(Q73*U73),S73+(S73*(('Atsipirkimo vertinimas'!$N$19)/12)))</f>
        <v>1.4326940595938102</v>
      </c>
      <c r="Q73" s="92">
        <f>IF(T73=0,0,S73*('Atsipirkimo vertinimas'!$N$19)/12)</f>
        <v>0.71897912353401106</v>
      </c>
      <c r="R73" s="92">
        <f t="shared" si="15"/>
        <v>0.71371493605979919</v>
      </c>
      <c r="S73" s="92">
        <f t="shared" si="16"/>
        <v>176.07652004914556</v>
      </c>
      <c r="T73">
        <f>IF(N73-'Atsipirkimo vertinimas'!$N$20&lt;0,0,1)</f>
        <v>1</v>
      </c>
      <c r="U73">
        <f>IF(N73-'Atsipirkimo vertinimas'!$N$20&gt;=0,0,1)</f>
        <v>0</v>
      </c>
      <c r="V73" s="92"/>
      <c r="W73" s="92">
        <f t="shared" si="13"/>
        <v>0</v>
      </c>
      <c r="X73" s="88"/>
    </row>
    <row r="74" spans="3:24" x14ac:dyDescent="0.25">
      <c r="C74" s="88">
        <v>70</v>
      </c>
      <c r="D74" s="92">
        <f t="shared" si="10"/>
        <v>1.7054398148148138</v>
      </c>
      <c r="E74" s="92">
        <f>IF(H74=0,0,G74*('Atsipirkimo vertinimas'!$N$19)/12)</f>
        <v>0.6748842592592581</v>
      </c>
      <c r="F74" s="92">
        <f>($G$4/('Atsipirkimo vertinimas'!$N$18*12-'Atsipirkimo vertinimas'!$N$20)*H74)</f>
        <v>0.97222222222222221</v>
      </c>
      <c r="G74" s="92">
        <f t="shared" si="14"/>
        <v>165.27777777777749</v>
      </c>
      <c r="H74">
        <f>IF(C74-'Atsipirkimo vertinimas'!$N$20&lt;0,0,1)</f>
        <v>1</v>
      </c>
      <c r="I74" s="92"/>
      <c r="J74" s="92">
        <f t="shared" si="11"/>
        <v>0</v>
      </c>
      <c r="K74" s="92"/>
      <c r="L74" s="88"/>
      <c r="N74" s="88">
        <v>70</v>
      </c>
      <c r="O74" s="92">
        <f t="shared" si="12"/>
        <v>1.4910273929271436</v>
      </c>
      <c r="P74" s="92">
        <f>IF($Z$64&lt;S74+(S74*(('Atsipirkimo vertinimas'!$N$19)/12)),($Z$64*T74)+(Q74*U74),S74+(S74*(('Atsipirkimo vertinimas'!$N$19)/12)))</f>
        <v>1.4326940595938102</v>
      </c>
      <c r="Q74" s="92">
        <f>IF(T74=0,0,S74*('Atsipirkimo vertinimas'!$N$19)/12)</f>
        <v>0.71606478754510017</v>
      </c>
      <c r="R74" s="92">
        <f t="shared" si="15"/>
        <v>0.71662927204871008</v>
      </c>
      <c r="S74" s="92">
        <f t="shared" si="16"/>
        <v>175.36280511308576</v>
      </c>
      <c r="T74">
        <f>IF(N74-'Atsipirkimo vertinimas'!$N$20&lt;0,0,1)</f>
        <v>1</v>
      </c>
      <c r="U74">
        <f>IF(N74-'Atsipirkimo vertinimas'!$N$20&gt;=0,0,1)</f>
        <v>0</v>
      </c>
      <c r="V74" s="92"/>
      <c r="W74" s="92">
        <f t="shared" si="13"/>
        <v>0</v>
      </c>
      <c r="X74" s="88"/>
    </row>
    <row r="75" spans="3:24" x14ac:dyDescent="0.25">
      <c r="C75" s="88">
        <v>71</v>
      </c>
      <c r="D75" s="92">
        <f t="shared" si="10"/>
        <v>1.7014699074074062</v>
      </c>
      <c r="E75" s="92">
        <f>IF(H75=0,0,G75*('Atsipirkimo vertinimas'!$N$19)/12)</f>
        <v>0.67091435185185067</v>
      </c>
      <c r="F75" s="92">
        <f>($G$4/('Atsipirkimo vertinimas'!$N$18*12-'Atsipirkimo vertinimas'!$N$20)*H75)</f>
        <v>0.97222222222222221</v>
      </c>
      <c r="G75" s="92">
        <f t="shared" si="14"/>
        <v>164.30555555555526</v>
      </c>
      <c r="H75">
        <f>IF(C75-'Atsipirkimo vertinimas'!$N$20&lt;0,0,1)</f>
        <v>1</v>
      </c>
      <c r="I75" s="92"/>
      <c r="J75" s="92">
        <f t="shared" si="11"/>
        <v>0</v>
      </c>
      <c r="K75" s="92"/>
      <c r="L75" s="91">
        <f>IF('Atsipirkimo vertinimas'!$N$18*12&gt;Grafikas!C75,SUM(D64:D75),0)</f>
        <v>20.679652777777765</v>
      </c>
      <c r="N75" s="88">
        <v>71</v>
      </c>
      <c r="O75" s="92">
        <f t="shared" si="12"/>
        <v>1.4910273929271436</v>
      </c>
      <c r="P75" s="92">
        <f>IF($Z$64&lt;S75+(S75*(('Atsipirkimo vertinimas'!$N$19)/12)),($Z$64*T75)+(Q75*U75),S75+(S75*(('Atsipirkimo vertinimas'!$N$19)/12)))</f>
        <v>1.4326940595938102</v>
      </c>
      <c r="Q75" s="92">
        <f>IF(T75=0,0,S75*('Atsipirkimo vertinimas'!$N$19)/12)</f>
        <v>0.71313855135090121</v>
      </c>
      <c r="R75" s="92">
        <f t="shared" si="15"/>
        <v>0.71955550824290904</v>
      </c>
      <c r="S75" s="92">
        <f t="shared" si="16"/>
        <v>174.64617584103704</v>
      </c>
      <c r="T75">
        <f>IF(N75-'Atsipirkimo vertinimas'!$N$20&lt;0,0,1)</f>
        <v>1</v>
      </c>
      <c r="U75">
        <f>IF(N75-'Atsipirkimo vertinimas'!$N$20&gt;=0,0,1)</f>
        <v>0</v>
      </c>
      <c r="V75" s="92"/>
      <c r="W75" s="92">
        <f t="shared" si="13"/>
        <v>0</v>
      </c>
      <c r="X75" s="91">
        <f>IF('Atsipirkimo vertinimas'!$N$18*12&gt;Grafikas!C75,SUM(O64:O75),0)</f>
        <v>17.892328715125725</v>
      </c>
    </row>
    <row r="76" spans="3:24" x14ac:dyDescent="0.25">
      <c r="C76" s="88">
        <v>72</v>
      </c>
      <c r="D76" s="92">
        <f t="shared" si="10"/>
        <v>1.6974999999999989</v>
      </c>
      <c r="E76" s="92">
        <f>IF(H76=0,0,G76*('Atsipirkimo vertinimas'!$N$19)/12)</f>
        <v>0.66694444444444334</v>
      </c>
      <c r="F76" s="92">
        <f>($G$4/('Atsipirkimo vertinimas'!$N$18*12-'Atsipirkimo vertinimas'!$N$20)*H76)</f>
        <v>0.97222222222222221</v>
      </c>
      <c r="G76" s="92">
        <f t="shared" si="14"/>
        <v>163.33333333333303</v>
      </c>
      <c r="H76">
        <f>IF(C76-'Atsipirkimo vertinimas'!$N$20&lt;0,0,1)</f>
        <v>1</v>
      </c>
      <c r="I76" s="92"/>
      <c r="J76" s="92">
        <f t="shared" si="11"/>
        <v>0</v>
      </c>
      <c r="K76" s="92"/>
      <c r="L76" s="88"/>
      <c r="N76" s="88">
        <v>72</v>
      </c>
      <c r="O76" s="92">
        <f t="shared" si="12"/>
        <v>1.4910273929271436</v>
      </c>
      <c r="P76" s="92">
        <f>IF($Z$64&lt;S76+(S76*(('Atsipirkimo vertinimas'!$N$19)/12)),($Z$64*T76)+(Q76*U76),S76+(S76*(('Atsipirkimo vertinimas'!$N$19)/12)))</f>
        <v>1.4326940595938102</v>
      </c>
      <c r="Q76" s="92">
        <f>IF(T76=0,0,S76*('Atsipirkimo vertinimas'!$N$19)/12)</f>
        <v>0.71020036635890937</v>
      </c>
      <c r="R76" s="92">
        <f t="shared" si="15"/>
        <v>0.72249369323490087</v>
      </c>
      <c r="S76" s="92">
        <f t="shared" si="16"/>
        <v>173.92662033279413</v>
      </c>
      <c r="T76">
        <f>IF(N76-'Atsipirkimo vertinimas'!$N$20&lt;0,0,1)</f>
        <v>1</v>
      </c>
      <c r="U76">
        <f>IF(N76-'Atsipirkimo vertinimas'!$N$20&gt;=0,0,1)</f>
        <v>0</v>
      </c>
      <c r="V76" s="92"/>
      <c r="W76" s="92">
        <f t="shared" si="13"/>
        <v>0</v>
      </c>
      <c r="X76" s="88"/>
    </row>
    <row r="77" spans="3:24" x14ac:dyDescent="0.25">
      <c r="C77" s="88">
        <v>73</v>
      </c>
      <c r="D77" s="92">
        <f t="shared" si="10"/>
        <v>1.6935300925925914</v>
      </c>
      <c r="E77" s="92">
        <f>IF(H77=0,0,G77*('Atsipirkimo vertinimas'!$N$19)/12)</f>
        <v>0.66297453703703579</v>
      </c>
      <c r="F77" s="92">
        <f>($G$4/('Atsipirkimo vertinimas'!$N$18*12-'Atsipirkimo vertinimas'!$N$20)*H77)</f>
        <v>0.97222222222222221</v>
      </c>
      <c r="G77" s="92">
        <f t="shared" si="14"/>
        <v>162.3611111111108</v>
      </c>
      <c r="H77">
        <f>IF(C77-'Atsipirkimo vertinimas'!$N$20&lt;0,0,1)</f>
        <v>1</v>
      </c>
      <c r="I77" s="92"/>
      <c r="J77" s="92">
        <f t="shared" si="11"/>
        <v>0</v>
      </c>
      <c r="K77" s="92"/>
      <c r="L77" s="88"/>
      <c r="N77" s="88">
        <v>73</v>
      </c>
      <c r="O77" s="92">
        <f t="shared" si="12"/>
        <v>1.4910273929271436</v>
      </c>
      <c r="P77" s="92">
        <f>IF($Z$64&lt;S77+(S77*(('Atsipirkimo vertinimas'!$N$19)/12)),($Z$64*T77)+(Q77*U77),S77+(S77*(('Atsipirkimo vertinimas'!$N$19)/12)))</f>
        <v>1.4326940595938102</v>
      </c>
      <c r="Q77" s="92">
        <f>IF(T77=0,0,S77*('Atsipirkimo vertinimas'!$N$19)/12)</f>
        <v>0.70725018377820026</v>
      </c>
      <c r="R77" s="92">
        <f t="shared" si="15"/>
        <v>0.72544387581560998</v>
      </c>
      <c r="S77" s="92">
        <f t="shared" si="16"/>
        <v>173.20412663955923</v>
      </c>
      <c r="T77">
        <f>IF(N77-'Atsipirkimo vertinimas'!$N$20&lt;0,0,1)</f>
        <v>1</v>
      </c>
      <c r="U77">
        <f>IF(N77-'Atsipirkimo vertinimas'!$N$20&gt;=0,0,1)</f>
        <v>0</v>
      </c>
      <c r="V77" s="92"/>
      <c r="W77" s="92">
        <f t="shared" si="13"/>
        <v>0</v>
      </c>
      <c r="X77" s="88"/>
    </row>
    <row r="78" spans="3:24" x14ac:dyDescent="0.25">
      <c r="C78" s="88">
        <v>74</v>
      </c>
      <c r="D78" s="92">
        <f t="shared" si="10"/>
        <v>1.689560185185184</v>
      </c>
      <c r="E78" s="92">
        <f>IF(H78=0,0,G78*('Atsipirkimo vertinimas'!$N$19)/12)</f>
        <v>0.65900462962962836</v>
      </c>
      <c r="F78" s="92">
        <f>($G$4/('Atsipirkimo vertinimas'!$N$18*12-'Atsipirkimo vertinimas'!$N$20)*H78)</f>
        <v>0.97222222222222221</v>
      </c>
      <c r="G78" s="92">
        <f t="shared" si="14"/>
        <v>161.38888888888857</v>
      </c>
      <c r="H78">
        <f>IF(C78-'Atsipirkimo vertinimas'!$N$20&lt;0,0,1)</f>
        <v>1</v>
      </c>
      <c r="I78" s="92"/>
      <c r="J78" s="92">
        <f t="shared" si="11"/>
        <v>0</v>
      </c>
      <c r="K78" s="92"/>
      <c r="L78" s="88"/>
      <c r="N78" s="88">
        <v>74</v>
      </c>
      <c r="O78" s="92">
        <f t="shared" si="12"/>
        <v>1.4910273929271436</v>
      </c>
      <c r="P78" s="92">
        <f>IF($Z$64&lt;S78+(S78*(('Atsipirkimo vertinimas'!$N$19)/12)),($Z$64*T78)+(Q78*U78),S78+(S78*(('Atsipirkimo vertinimas'!$N$19)/12)))</f>
        <v>1.4326940595938102</v>
      </c>
      <c r="Q78" s="92">
        <f>IF(T78=0,0,S78*('Atsipirkimo vertinimas'!$N$19)/12)</f>
        <v>0.7042879546186197</v>
      </c>
      <c r="R78" s="92">
        <f t="shared" si="15"/>
        <v>0.72840610497519054</v>
      </c>
      <c r="S78" s="92">
        <f t="shared" si="16"/>
        <v>172.47868276374362</v>
      </c>
      <c r="T78">
        <f>IF(N78-'Atsipirkimo vertinimas'!$N$20&lt;0,0,1)</f>
        <v>1</v>
      </c>
      <c r="U78">
        <f>IF(N78-'Atsipirkimo vertinimas'!$N$20&gt;=0,0,1)</f>
        <v>0</v>
      </c>
      <c r="V78" s="92"/>
      <c r="W78" s="92">
        <f t="shared" si="13"/>
        <v>0</v>
      </c>
      <c r="X78" s="88"/>
    </row>
    <row r="79" spans="3:24" x14ac:dyDescent="0.25">
      <c r="C79" s="88">
        <v>75</v>
      </c>
      <c r="D79" s="92">
        <f t="shared" si="10"/>
        <v>1.6855902777777765</v>
      </c>
      <c r="E79" s="92">
        <f>IF(H79=0,0,G79*('Atsipirkimo vertinimas'!$N$19)/12)</f>
        <v>0.65503472222222092</v>
      </c>
      <c r="F79" s="92">
        <f>($G$4/('Atsipirkimo vertinimas'!$N$18*12-'Atsipirkimo vertinimas'!$N$20)*H79)</f>
        <v>0.97222222222222221</v>
      </c>
      <c r="G79" s="92">
        <f t="shared" si="14"/>
        <v>160.41666666666634</v>
      </c>
      <c r="H79">
        <f>IF(C79-'Atsipirkimo vertinimas'!$N$20&lt;0,0,1)</f>
        <v>1</v>
      </c>
      <c r="I79" s="92"/>
      <c r="J79" s="92">
        <f t="shared" si="11"/>
        <v>0</v>
      </c>
      <c r="K79" s="92"/>
      <c r="L79" s="88"/>
      <c r="N79" s="88">
        <v>75</v>
      </c>
      <c r="O79" s="92">
        <f t="shared" si="12"/>
        <v>1.4910273929271436</v>
      </c>
      <c r="P79" s="92">
        <f>IF($Z$64&lt;S79+(S79*(('Atsipirkimo vertinimas'!$N$19)/12)),($Z$64*T79)+(Q79*U79),S79+(S79*(('Atsipirkimo vertinimas'!$N$19)/12)))</f>
        <v>1.4326940595938102</v>
      </c>
      <c r="Q79" s="92">
        <f>IF(T79=0,0,S79*('Atsipirkimo vertinimas'!$N$19)/12)</f>
        <v>0.70131362968997113</v>
      </c>
      <c r="R79" s="92">
        <f t="shared" si="15"/>
        <v>0.73138042990383911</v>
      </c>
      <c r="S79" s="92">
        <f t="shared" si="16"/>
        <v>171.75027665876843</v>
      </c>
      <c r="T79">
        <f>IF(N79-'Atsipirkimo vertinimas'!$N$20&lt;0,0,1)</f>
        <v>1</v>
      </c>
      <c r="U79">
        <f>IF(N79-'Atsipirkimo vertinimas'!$N$20&gt;=0,0,1)</f>
        <v>0</v>
      </c>
      <c r="V79" s="92"/>
      <c r="W79" s="92">
        <f t="shared" si="13"/>
        <v>0</v>
      </c>
      <c r="X79" s="88"/>
    </row>
    <row r="80" spans="3:24" x14ac:dyDescent="0.25">
      <c r="C80" s="88">
        <v>76</v>
      </c>
      <c r="D80" s="92">
        <f t="shared" si="10"/>
        <v>1.6816203703703689</v>
      </c>
      <c r="E80" s="92">
        <f>IF(H80=0,0,G80*('Atsipirkimo vertinimas'!$N$19)/12)</f>
        <v>0.65106481481481349</v>
      </c>
      <c r="F80" s="92">
        <f>($G$4/('Atsipirkimo vertinimas'!$N$18*12-'Atsipirkimo vertinimas'!$N$20)*H80)</f>
        <v>0.97222222222222221</v>
      </c>
      <c r="G80" s="92">
        <f t="shared" si="14"/>
        <v>159.44444444444412</v>
      </c>
      <c r="H80">
        <f>IF(C80-'Atsipirkimo vertinimas'!$N$20&lt;0,0,1)</f>
        <v>1</v>
      </c>
      <c r="I80" s="92"/>
      <c r="J80" s="92">
        <f t="shared" si="11"/>
        <v>0</v>
      </c>
      <c r="K80" s="92"/>
      <c r="L80" s="88"/>
      <c r="N80" s="88">
        <v>76</v>
      </c>
      <c r="O80" s="92">
        <f t="shared" si="12"/>
        <v>1.4910273929271436</v>
      </c>
      <c r="P80" s="92">
        <f>IF($Z$64&lt;S80+(S80*(('Atsipirkimo vertinimas'!$N$19)/12)),($Z$64*T80)+(Q80*U80),S80+(S80*(('Atsipirkimo vertinimas'!$N$19)/12)))</f>
        <v>1.4326940595938102</v>
      </c>
      <c r="Q80" s="92">
        <f>IF(T80=0,0,S80*('Atsipirkimo vertinimas'!$N$19)/12)</f>
        <v>0.69832715960119707</v>
      </c>
      <c r="R80" s="92">
        <f t="shared" si="15"/>
        <v>0.73436689999261318</v>
      </c>
      <c r="S80" s="92">
        <f t="shared" si="16"/>
        <v>171.01889622886458</v>
      </c>
      <c r="T80">
        <f>IF(N80-'Atsipirkimo vertinimas'!$N$20&lt;0,0,1)</f>
        <v>1</v>
      </c>
      <c r="U80">
        <f>IF(N80-'Atsipirkimo vertinimas'!$N$20&gt;=0,0,1)</f>
        <v>0</v>
      </c>
      <c r="V80" s="92"/>
      <c r="W80" s="92">
        <f t="shared" si="13"/>
        <v>0</v>
      </c>
      <c r="X80" s="88"/>
    </row>
    <row r="81" spans="3:24" x14ac:dyDescent="0.25">
      <c r="C81" s="88">
        <v>77</v>
      </c>
      <c r="D81" s="92">
        <f t="shared" si="10"/>
        <v>1.6776504629629616</v>
      </c>
      <c r="E81" s="92">
        <f>IF(H81=0,0,G81*('Atsipirkimo vertinimas'!$N$19)/12)</f>
        <v>0.64709490740740605</v>
      </c>
      <c r="F81" s="92">
        <f>($G$4/('Atsipirkimo vertinimas'!$N$18*12-'Atsipirkimo vertinimas'!$N$20)*H81)</f>
        <v>0.97222222222222221</v>
      </c>
      <c r="G81" s="92">
        <f t="shared" si="14"/>
        <v>158.47222222222189</v>
      </c>
      <c r="H81">
        <f>IF(C81-'Atsipirkimo vertinimas'!$N$20&lt;0,0,1)</f>
        <v>1</v>
      </c>
      <c r="I81" s="92"/>
      <c r="J81" s="92">
        <f t="shared" si="11"/>
        <v>0</v>
      </c>
      <c r="K81" s="92"/>
      <c r="L81" s="88"/>
      <c r="N81" s="88">
        <v>77</v>
      </c>
      <c r="O81" s="92">
        <f t="shared" si="12"/>
        <v>1.4910273929271436</v>
      </c>
      <c r="P81" s="92">
        <f>IF($Z$64&lt;S81+(S81*(('Atsipirkimo vertinimas'!$N$19)/12)),($Z$64*T81)+(Q81*U81),S81+(S81*(('Atsipirkimo vertinimas'!$N$19)/12)))</f>
        <v>1.4326940595938102</v>
      </c>
      <c r="Q81" s="92">
        <f>IF(T81=0,0,S81*('Atsipirkimo vertinimas'!$N$19)/12)</f>
        <v>0.69532849475956049</v>
      </c>
      <c r="R81" s="92">
        <f t="shared" si="15"/>
        <v>0.73736556483424975</v>
      </c>
      <c r="S81" s="92">
        <f t="shared" si="16"/>
        <v>170.28452932887197</v>
      </c>
      <c r="T81">
        <f>IF(N81-'Atsipirkimo vertinimas'!$N$20&lt;0,0,1)</f>
        <v>1</v>
      </c>
      <c r="U81">
        <f>IF(N81-'Atsipirkimo vertinimas'!$N$20&gt;=0,0,1)</f>
        <v>0</v>
      </c>
      <c r="V81" s="92"/>
      <c r="W81" s="92">
        <f t="shared" si="13"/>
        <v>0</v>
      </c>
      <c r="X81" s="88"/>
    </row>
    <row r="82" spans="3:24" x14ac:dyDescent="0.25">
      <c r="C82" s="88">
        <v>78</v>
      </c>
      <c r="D82" s="92">
        <f t="shared" si="10"/>
        <v>1.6736805555555543</v>
      </c>
      <c r="E82" s="92">
        <f>IF(H82=0,0,G82*('Atsipirkimo vertinimas'!$N$19)/12)</f>
        <v>0.64312499999999861</v>
      </c>
      <c r="F82" s="92">
        <f>($G$4/('Atsipirkimo vertinimas'!$N$18*12-'Atsipirkimo vertinimas'!$N$20)*H82)</f>
        <v>0.97222222222222221</v>
      </c>
      <c r="G82" s="92">
        <f t="shared" si="14"/>
        <v>157.49999999999966</v>
      </c>
      <c r="H82">
        <f>IF(C82-'Atsipirkimo vertinimas'!$N$20&lt;0,0,1)</f>
        <v>1</v>
      </c>
      <c r="I82" s="92"/>
      <c r="J82" s="92">
        <f t="shared" si="11"/>
        <v>0</v>
      </c>
      <c r="K82" s="92"/>
      <c r="L82" s="88"/>
      <c r="N82" s="88">
        <v>78</v>
      </c>
      <c r="O82" s="92">
        <f t="shared" si="12"/>
        <v>1.4910273929271436</v>
      </c>
      <c r="P82" s="92">
        <f>IF($Z$64&lt;S82+(S82*(('Atsipirkimo vertinimas'!$N$19)/12)),($Z$64*T82)+(Q82*U82),S82+(S82*(('Atsipirkimo vertinimas'!$N$19)/12)))</f>
        <v>1.4326940595938102</v>
      </c>
      <c r="Q82" s="92">
        <f>IF(T82=0,0,S82*('Atsipirkimo vertinimas'!$N$19)/12)</f>
        <v>0.69231758536982069</v>
      </c>
      <c r="R82" s="92">
        <f t="shared" si="15"/>
        <v>0.74037647422398956</v>
      </c>
      <c r="S82" s="92">
        <f t="shared" si="16"/>
        <v>169.54716376403772</v>
      </c>
      <c r="T82">
        <f>IF(N82-'Atsipirkimo vertinimas'!$N$20&lt;0,0,1)</f>
        <v>1</v>
      </c>
      <c r="U82">
        <f>IF(N82-'Atsipirkimo vertinimas'!$N$20&gt;=0,0,1)</f>
        <v>0</v>
      </c>
      <c r="V82" s="92"/>
      <c r="W82" s="92">
        <f t="shared" si="13"/>
        <v>0</v>
      </c>
      <c r="X82" s="88"/>
    </row>
    <row r="83" spans="3:24" x14ac:dyDescent="0.25">
      <c r="C83" s="88">
        <v>79</v>
      </c>
      <c r="D83" s="92">
        <f t="shared" si="10"/>
        <v>1.6697106481481467</v>
      </c>
      <c r="E83" s="92">
        <f>IF(H83=0,0,G83*('Atsipirkimo vertinimas'!$N$19)/12)</f>
        <v>0.63915509259259118</v>
      </c>
      <c r="F83" s="92">
        <f>($G$4/('Atsipirkimo vertinimas'!$N$18*12-'Atsipirkimo vertinimas'!$N$20)*H83)</f>
        <v>0.97222222222222221</v>
      </c>
      <c r="G83" s="92">
        <f t="shared" si="14"/>
        <v>156.52777777777743</v>
      </c>
      <c r="H83">
        <f>IF(C83-'Atsipirkimo vertinimas'!$N$20&lt;0,0,1)</f>
        <v>1</v>
      </c>
      <c r="I83" s="92"/>
      <c r="J83" s="92">
        <f t="shared" si="11"/>
        <v>0</v>
      </c>
      <c r="K83" s="92"/>
      <c r="L83" s="88"/>
      <c r="N83" s="88">
        <v>79</v>
      </c>
      <c r="O83" s="92">
        <f t="shared" si="12"/>
        <v>1.4910273929271436</v>
      </c>
      <c r="P83" s="92">
        <f>IF($Z$64&lt;S83+(S83*(('Atsipirkimo vertinimas'!$N$19)/12)),($Z$64*T83)+(Q83*U83),S83+(S83*(('Atsipirkimo vertinimas'!$N$19)/12)))</f>
        <v>1.4326940595938102</v>
      </c>
      <c r="Q83" s="92">
        <f>IF(T83=0,0,S83*('Atsipirkimo vertinimas'!$N$19)/12)</f>
        <v>0.68929438143340616</v>
      </c>
      <c r="R83" s="92">
        <f t="shared" si="15"/>
        <v>0.74339967816040409</v>
      </c>
      <c r="S83" s="92">
        <f t="shared" si="16"/>
        <v>168.80678728981374</v>
      </c>
      <c r="T83">
        <f>IF(N83-'Atsipirkimo vertinimas'!$N$20&lt;0,0,1)</f>
        <v>1</v>
      </c>
      <c r="U83">
        <f>IF(N83-'Atsipirkimo vertinimas'!$N$20&gt;=0,0,1)</f>
        <v>0</v>
      </c>
      <c r="V83" s="92"/>
      <c r="W83" s="92">
        <f t="shared" si="13"/>
        <v>0</v>
      </c>
      <c r="X83" s="88"/>
    </row>
    <row r="84" spans="3:24" x14ac:dyDescent="0.25">
      <c r="C84" s="88">
        <v>80</v>
      </c>
      <c r="D84" s="92">
        <f t="shared" si="10"/>
        <v>1.6657407407407392</v>
      </c>
      <c r="E84" s="92">
        <f>IF(H84=0,0,G84*('Atsipirkimo vertinimas'!$N$19)/12)</f>
        <v>0.63518518518518374</v>
      </c>
      <c r="F84" s="92">
        <f>($G$4/('Atsipirkimo vertinimas'!$N$18*12-'Atsipirkimo vertinimas'!$N$20)*H84)</f>
        <v>0.97222222222222221</v>
      </c>
      <c r="G84" s="92">
        <f t="shared" si="14"/>
        <v>155.5555555555552</v>
      </c>
      <c r="H84">
        <f>IF(C84-'Atsipirkimo vertinimas'!$N$20&lt;0,0,1)</f>
        <v>1</v>
      </c>
      <c r="I84" s="92"/>
      <c r="J84" s="92">
        <f t="shared" si="11"/>
        <v>0</v>
      </c>
      <c r="K84" s="92"/>
      <c r="L84" s="88"/>
      <c r="N84" s="88">
        <v>80</v>
      </c>
      <c r="O84" s="92">
        <f t="shared" si="12"/>
        <v>1.4910273929271436</v>
      </c>
      <c r="P84" s="92">
        <f>IF($Z$64&lt;S84+(S84*(('Atsipirkimo vertinimas'!$N$19)/12)),($Z$64*T84)+(Q84*U84),S84+(S84*(('Atsipirkimo vertinimas'!$N$19)/12)))</f>
        <v>1.4326940595938102</v>
      </c>
      <c r="Q84" s="92">
        <f>IF(T84=0,0,S84*('Atsipirkimo vertinimas'!$N$19)/12)</f>
        <v>0.68625883274758437</v>
      </c>
      <c r="R84" s="92">
        <f t="shared" si="15"/>
        <v>0.74643522684622587</v>
      </c>
      <c r="S84" s="92">
        <f t="shared" si="16"/>
        <v>168.06338761165333</v>
      </c>
      <c r="T84">
        <f>IF(N84-'Atsipirkimo vertinimas'!$N$20&lt;0,0,1)</f>
        <v>1</v>
      </c>
      <c r="U84">
        <f>IF(N84-'Atsipirkimo vertinimas'!$N$20&gt;=0,0,1)</f>
        <v>0</v>
      </c>
      <c r="V84" s="92"/>
      <c r="W84" s="92">
        <f t="shared" si="13"/>
        <v>0</v>
      </c>
      <c r="X84" s="88"/>
    </row>
    <row r="85" spans="3:24" x14ac:dyDescent="0.25">
      <c r="C85" s="88">
        <v>81</v>
      </c>
      <c r="D85" s="92">
        <f t="shared" si="10"/>
        <v>1.6617708333333319</v>
      </c>
      <c r="E85" s="92">
        <f>IF(H85=0,0,G85*('Atsipirkimo vertinimas'!$N$19)/12)</f>
        <v>0.63121527777777631</v>
      </c>
      <c r="F85" s="92">
        <f>($G$4/('Atsipirkimo vertinimas'!$N$18*12-'Atsipirkimo vertinimas'!$N$20)*H85)</f>
        <v>0.97222222222222221</v>
      </c>
      <c r="G85" s="92">
        <f t="shared" si="14"/>
        <v>154.58333333333297</v>
      </c>
      <c r="H85">
        <f>IF(C85-'Atsipirkimo vertinimas'!$N$20&lt;0,0,1)</f>
        <v>1</v>
      </c>
      <c r="I85" s="92"/>
      <c r="J85" s="92">
        <f t="shared" si="11"/>
        <v>0</v>
      </c>
      <c r="K85" s="92"/>
      <c r="L85" s="88"/>
      <c r="N85" s="88">
        <v>81</v>
      </c>
      <c r="O85" s="92">
        <f t="shared" si="12"/>
        <v>1.4910273929271436</v>
      </c>
      <c r="P85" s="92">
        <f>IF($Z$64&lt;S85+(S85*(('Atsipirkimo vertinimas'!$N$19)/12)),($Z$64*T85)+(Q85*U85),S85+(S85*(('Atsipirkimo vertinimas'!$N$19)/12)))</f>
        <v>1.4326940595938102</v>
      </c>
      <c r="Q85" s="92">
        <f>IF(T85=0,0,S85*('Atsipirkimo vertinimas'!$N$19)/12)</f>
        <v>0.683210888904629</v>
      </c>
      <c r="R85" s="92">
        <f t="shared" si="15"/>
        <v>0.74948317068918124</v>
      </c>
      <c r="S85" s="92">
        <f t="shared" si="16"/>
        <v>167.31695238480711</v>
      </c>
      <c r="T85">
        <f>IF(N85-'Atsipirkimo vertinimas'!$N$20&lt;0,0,1)</f>
        <v>1</v>
      </c>
      <c r="U85">
        <f>IF(N85-'Atsipirkimo vertinimas'!$N$20&gt;=0,0,1)</f>
        <v>0</v>
      </c>
      <c r="V85" s="92"/>
      <c r="W85" s="92">
        <f t="shared" si="13"/>
        <v>0</v>
      </c>
      <c r="X85" s="88"/>
    </row>
    <row r="86" spans="3:24" x14ac:dyDescent="0.25">
      <c r="C86" s="88">
        <v>82</v>
      </c>
      <c r="D86" s="92">
        <f t="shared" si="10"/>
        <v>1.6578009259259245</v>
      </c>
      <c r="E86" s="92">
        <f>IF(H86=0,0,G86*('Atsipirkimo vertinimas'!$N$19)/12)</f>
        <v>0.62724537037036887</v>
      </c>
      <c r="F86" s="92">
        <f>($G$4/('Atsipirkimo vertinimas'!$N$18*12-'Atsipirkimo vertinimas'!$N$20)*H86)</f>
        <v>0.97222222222222221</v>
      </c>
      <c r="G86" s="92">
        <f t="shared" si="14"/>
        <v>153.61111111111074</v>
      </c>
      <c r="H86">
        <f>IF(C86-'Atsipirkimo vertinimas'!$N$20&lt;0,0,1)</f>
        <v>1</v>
      </c>
      <c r="I86" s="92"/>
      <c r="J86" s="92">
        <f t="shared" si="11"/>
        <v>0</v>
      </c>
      <c r="K86" s="92"/>
      <c r="L86" s="88"/>
      <c r="N86" s="88">
        <v>82</v>
      </c>
      <c r="O86" s="92">
        <f t="shared" si="12"/>
        <v>1.4910273929271436</v>
      </c>
      <c r="P86" s="92">
        <f>IF($Z$64&lt;S86+(S86*(('Atsipirkimo vertinimas'!$N$19)/12)),($Z$64*T86)+(Q86*U86),S86+(S86*(('Atsipirkimo vertinimas'!$N$19)/12)))</f>
        <v>1.4326940595938102</v>
      </c>
      <c r="Q86" s="92">
        <f>IF(T86=0,0,S86*('Atsipirkimo vertinimas'!$N$19)/12)</f>
        <v>0.68015049929098159</v>
      </c>
      <c r="R86" s="92">
        <f t="shared" si="15"/>
        <v>0.75254356030282865</v>
      </c>
      <c r="S86" s="92">
        <f t="shared" si="16"/>
        <v>166.56746921411792</v>
      </c>
      <c r="T86">
        <f>IF(N86-'Atsipirkimo vertinimas'!$N$20&lt;0,0,1)</f>
        <v>1</v>
      </c>
      <c r="U86">
        <f>IF(N86-'Atsipirkimo vertinimas'!$N$20&gt;=0,0,1)</f>
        <v>0</v>
      </c>
      <c r="V86" s="92"/>
      <c r="W86" s="92">
        <f t="shared" si="13"/>
        <v>0</v>
      </c>
      <c r="X86" s="88"/>
    </row>
    <row r="87" spans="3:24" x14ac:dyDescent="0.25">
      <c r="C87" s="88">
        <v>83</v>
      </c>
      <c r="D87" s="92">
        <f t="shared" si="10"/>
        <v>1.653831018518517</v>
      </c>
      <c r="E87" s="92">
        <f>IF(H87=0,0,G87*('Atsipirkimo vertinimas'!$N$19)/12)</f>
        <v>0.62327546296296144</v>
      </c>
      <c r="F87" s="92">
        <f>($G$4/('Atsipirkimo vertinimas'!$N$18*12-'Atsipirkimo vertinimas'!$N$20)*H87)</f>
        <v>0.97222222222222221</v>
      </c>
      <c r="G87" s="92">
        <f t="shared" si="14"/>
        <v>152.63888888888852</v>
      </c>
      <c r="H87">
        <f>IF(C87-'Atsipirkimo vertinimas'!$N$20&lt;0,0,1)</f>
        <v>1</v>
      </c>
      <c r="I87" s="92"/>
      <c r="J87" s="92">
        <f t="shared" si="11"/>
        <v>0</v>
      </c>
      <c r="K87" s="92"/>
      <c r="L87" s="91">
        <f>IF('Atsipirkimo vertinimas'!$N$18*12&gt;Grafikas!C87,SUM(D76:D87),0)</f>
        <v>20.107986111111096</v>
      </c>
      <c r="N87" s="88">
        <v>83</v>
      </c>
      <c r="O87" s="92">
        <f t="shared" si="12"/>
        <v>1.4910273929271436</v>
      </c>
      <c r="P87" s="92">
        <f>IF($Z$64&lt;S87+(S87*(('Atsipirkimo vertinimas'!$N$19)/12)),($Z$64*T87)+(Q87*U87),S87+(S87*(('Atsipirkimo vertinimas'!$N$19)/12)))</f>
        <v>1.4326940595938102</v>
      </c>
      <c r="Q87" s="92">
        <f>IF(T87=0,0,S87*('Atsipirkimo vertinimas'!$N$19)/12)</f>
        <v>0.67707761308641168</v>
      </c>
      <c r="R87" s="92">
        <f t="shared" si="15"/>
        <v>0.75561644650739856</v>
      </c>
      <c r="S87" s="92">
        <f t="shared" si="16"/>
        <v>165.8149256538151</v>
      </c>
      <c r="T87">
        <f>IF(N87-'Atsipirkimo vertinimas'!$N$20&lt;0,0,1)</f>
        <v>1</v>
      </c>
      <c r="U87">
        <f>IF(N87-'Atsipirkimo vertinimas'!$N$20&gt;=0,0,1)</f>
        <v>0</v>
      </c>
      <c r="V87" s="92"/>
      <c r="W87" s="92">
        <f t="shared" si="13"/>
        <v>0</v>
      </c>
      <c r="X87" s="91">
        <f>IF('Atsipirkimo vertinimas'!$N$18*12&gt;Grafikas!C87,SUM(O76:O87),0)</f>
        <v>17.892328715125725</v>
      </c>
    </row>
    <row r="88" spans="3:24" x14ac:dyDescent="0.25">
      <c r="C88" s="88">
        <v>84</v>
      </c>
      <c r="D88" s="92">
        <f t="shared" si="10"/>
        <v>1.6498611111111094</v>
      </c>
      <c r="E88" s="92">
        <f>IF(H88=0,0,G88*('Atsipirkimo vertinimas'!$N$19)/12)</f>
        <v>0.619305555555554</v>
      </c>
      <c r="F88" s="92">
        <f>($G$4/('Atsipirkimo vertinimas'!$N$18*12-'Atsipirkimo vertinimas'!$N$20)*H88)</f>
        <v>0.97222222222222221</v>
      </c>
      <c r="G88" s="92">
        <f t="shared" si="14"/>
        <v>151.66666666666629</v>
      </c>
      <c r="H88">
        <f>IF(C88-'Atsipirkimo vertinimas'!$N$20&lt;0,0,1)</f>
        <v>1</v>
      </c>
      <c r="I88" s="92"/>
      <c r="J88" s="92">
        <f t="shared" si="11"/>
        <v>0</v>
      </c>
      <c r="K88" s="92"/>
      <c r="L88" s="88"/>
      <c r="N88" s="88">
        <v>84</v>
      </c>
      <c r="O88" s="92">
        <f t="shared" si="12"/>
        <v>1.4910273929271436</v>
      </c>
      <c r="P88" s="92">
        <f>IF($Z$64&lt;S88+(S88*(('Atsipirkimo vertinimas'!$N$19)/12)),($Z$64*T88)+(Q88*U88),S88+(S88*(('Atsipirkimo vertinimas'!$N$19)/12)))</f>
        <v>1.4326940595938102</v>
      </c>
      <c r="Q88" s="92">
        <f>IF(T88=0,0,S88*('Atsipirkimo vertinimas'!$N$19)/12)</f>
        <v>0.67399217926317323</v>
      </c>
      <c r="R88" s="92">
        <f t="shared" si="15"/>
        <v>0.75870188033063701</v>
      </c>
      <c r="S88" s="92">
        <f t="shared" si="16"/>
        <v>165.05930920730771</v>
      </c>
      <c r="T88">
        <f>IF(N88-'Atsipirkimo vertinimas'!$N$20&lt;0,0,1)</f>
        <v>1</v>
      </c>
      <c r="U88">
        <f>IF(N88-'Atsipirkimo vertinimas'!$N$20&gt;=0,0,1)</f>
        <v>0</v>
      </c>
      <c r="V88" s="92"/>
      <c r="W88" s="92">
        <f t="shared" si="13"/>
        <v>0</v>
      </c>
      <c r="X88" s="88"/>
    </row>
    <row r="89" spans="3:24" x14ac:dyDescent="0.25">
      <c r="C89" s="88">
        <v>85</v>
      </c>
      <c r="D89" s="92">
        <f t="shared" si="10"/>
        <v>1.6458912037037021</v>
      </c>
      <c r="E89" s="92">
        <f>IF(H89=0,0,G89*('Atsipirkimo vertinimas'!$N$19)/12)</f>
        <v>0.61533564814814656</v>
      </c>
      <c r="F89" s="92">
        <f>($G$4/('Atsipirkimo vertinimas'!$N$18*12-'Atsipirkimo vertinimas'!$N$20)*H89)</f>
        <v>0.97222222222222221</v>
      </c>
      <c r="G89" s="92">
        <f t="shared" si="14"/>
        <v>150.69444444444406</v>
      </c>
      <c r="H89">
        <f>IF(C89-'Atsipirkimo vertinimas'!$N$20&lt;0,0,1)</f>
        <v>1</v>
      </c>
      <c r="I89" s="92"/>
      <c r="J89" s="92">
        <f t="shared" si="11"/>
        <v>0</v>
      </c>
      <c r="K89" s="92"/>
      <c r="L89" s="88"/>
      <c r="N89" s="88">
        <v>85</v>
      </c>
      <c r="O89" s="92">
        <f t="shared" si="12"/>
        <v>1.4910273929271436</v>
      </c>
      <c r="P89" s="92">
        <f>IF($Z$64&lt;S89+(S89*(('Atsipirkimo vertinimas'!$N$19)/12)),($Z$64*T89)+(Q89*U89),S89+(S89*(('Atsipirkimo vertinimas'!$N$19)/12)))</f>
        <v>1.4326940595938102</v>
      </c>
      <c r="Q89" s="92">
        <f>IF(T89=0,0,S89*('Atsipirkimo vertinimas'!$N$19)/12)</f>
        <v>0.67089414658515645</v>
      </c>
      <c r="R89" s="92">
        <f t="shared" si="15"/>
        <v>0.7617999130086538</v>
      </c>
      <c r="S89" s="92">
        <f t="shared" si="16"/>
        <v>164.30060732697706</v>
      </c>
      <c r="T89">
        <f>IF(N89-'Atsipirkimo vertinimas'!$N$20&lt;0,0,1)</f>
        <v>1</v>
      </c>
      <c r="U89">
        <f>IF(N89-'Atsipirkimo vertinimas'!$N$20&gt;=0,0,1)</f>
        <v>0</v>
      </c>
      <c r="V89" s="92"/>
      <c r="W89" s="92">
        <f t="shared" si="13"/>
        <v>0</v>
      </c>
      <c r="X89" s="88"/>
    </row>
    <row r="90" spans="3:24" x14ac:dyDescent="0.25">
      <c r="C90" s="88">
        <v>86</v>
      </c>
      <c r="D90" s="92">
        <f t="shared" si="10"/>
        <v>1.6419212962962948</v>
      </c>
      <c r="E90" s="92">
        <f>IF(H90=0,0,G90*('Atsipirkimo vertinimas'!$N$19)/12)</f>
        <v>0.61136574074073924</v>
      </c>
      <c r="F90" s="92">
        <f>($G$4/('Atsipirkimo vertinimas'!$N$18*12-'Atsipirkimo vertinimas'!$N$20)*H90)</f>
        <v>0.97222222222222221</v>
      </c>
      <c r="G90" s="92">
        <f t="shared" si="14"/>
        <v>149.72222222222183</v>
      </c>
      <c r="H90">
        <f>IF(C90-'Atsipirkimo vertinimas'!$N$20&lt;0,0,1)</f>
        <v>1</v>
      </c>
      <c r="I90" s="92"/>
      <c r="J90" s="92">
        <f t="shared" si="11"/>
        <v>0</v>
      </c>
      <c r="K90" s="92"/>
      <c r="L90" s="88"/>
      <c r="N90" s="88">
        <v>86</v>
      </c>
      <c r="O90" s="92">
        <f t="shared" si="12"/>
        <v>1.4910273929271436</v>
      </c>
      <c r="P90" s="92">
        <f>IF($Z$64&lt;S90+(S90*(('Atsipirkimo vertinimas'!$N$19)/12)),($Z$64*T90)+(Q90*U90),S90+(S90*(('Atsipirkimo vertinimas'!$N$19)/12)))</f>
        <v>1.4326940595938102</v>
      </c>
      <c r="Q90" s="92">
        <f>IF(T90=0,0,S90*('Atsipirkimo vertinimas'!$N$19)/12)</f>
        <v>0.66778346360703766</v>
      </c>
      <c r="R90" s="92">
        <f t="shared" si="15"/>
        <v>0.76491059598677258</v>
      </c>
      <c r="S90" s="92">
        <f t="shared" si="16"/>
        <v>163.53880741396841</v>
      </c>
      <c r="T90">
        <f>IF(N90-'Atsipirkimo vertinimas'!$N$20&lt;0,0,1)</f>
        <v>1</v>
      </c>
      <c r="U90">
        <f>IF(N90-'Atsipirkimo vertinimas'!$N$20&gt;=0,0,1)</f>
        <v>0</v>
      </c>
      <c r="V90" s="92"/>
      <c r="W90" s="92">
        <f t="shared" si="13"/>
        <v>0</v>
      </c>
      <c r="X90" s="88"/>
    </row>
    <row r="91" spans="3:24" x14ac:dyDescent="0.25">
      <c r="C91" s="88">
        <v>87</v>
      </c>
      <c r="D91" s="92">
        <f t="shared" si="10"/>
        <v>1.6379513888888872</v>
      </c>
      <c r="E91" s="92">
        <f>IF(H91=0,0,G91*('Atsipirkimo vertinimas'!$N$19)/12)</f>
        <v>0.60739583333333169</v>
      </c>
      <c r="F91" s="92">
        <f>($G$4/('Atsipirkimo vertinimas'!$N$18*12-'Atsipirkimo vertinimas'!$N$20)*H91)</f>
        <v>0.97222222222222221</v>
      </c>
      <c r="G91" s="92">
        <f t="shared" si="14"/>
        <v>148.7499999999996</v>
      </c>
      <c r="H91">
        <f>IF(C91-'Atsipirkimo vertinimas'!$N$20&lt;0,0,1)</f>
        <v>1</v>
      </c>
      <c r="I91" s="92"/>
      <c r="J91" s="92">
        <f t="shared" si="11"/>
        <v>0</v>
      </c>
      <c r="K91" s="92"/>
      <c r="L91" s="88"/>
      <c r="N91" s="88">
        <v>87</v>
      </c>
      <c r="O91" s="92">
        <f t="shared" si="12"/>
        <v>1.4910273929271436</v>
      </c>
      <c r="P91" s="92">
        <f>IF($Z$64&lt;S91+(S91*(('Atsipirkimo vertinimas'!$N$19)/12)),($Z$64*T91)+(Q91*U91),S91+(S91*(('Atsipirkimo vertinimas'!$N$19)/12)))</f>
        <v>1.4326940595938102</v>
      </c>
      <c r="Q91" s="92">
        <f>IF(T91=0,0,S91*('Atsipirkimo vertinimas'!$N$19)/12)</f>
        <v>0.66466007867342503</v>
      </c>
      <c r="R91" s="92">
        <f t="shared" si="15"/>
        <v>0.76803398092038522</v>
      </c>
      <c r="S91" s="92">
        <f t="shared" si="16"/>
        <v>162.77389681798164</v>
      </c>
      <c r="T91">
        <f>IF(N91-'Atsipirkimo vertinimas'!$N$20&lt;0,0,1)</f>
        <v>1</v>
      </c>
      <c r="U91">
        <f>IF(N91-'Atsipirkimo vertinimas'!$N$20&gt;=0,0,1)</f>
        <v>0</v>
      </c>
      <c r="V91" s="92"/>
      <c r="W91" s="92">
        <f t="shared" si="13"/>
        <v>0</v>
      </c>
      <c r="X91" s="88"/>
    </row>
    <row r="92" spans="3:24" x14ac:dyDescent="0.25">
      <c r="C92" s="88">
        <v>88</v>
      </c>
      <c r="D92" s="92">
        <f t="shared" si="10"/>
        <v>1.6339814814814799</v>
      </c>
      <c r="E92" s="92">
        <f>IF(H92=0,0,G92*('Atsipirkimo vertinimas'!$N$19)/12)</f>
        <v>0.60342592592592437</v>
      </c>
      <c r="F92" s="92">
        <f>($G$4/('Atsipirkimo vertinimas'!$N$18*12-'Atsipirkimo vertinimas'!$N$20)*H92)</f>
        <v>0.97222222222222221</v>
      </c>
      <c r="G92" s="92">
        <f t="shared" si="14"/>
        <v>147.77777777777737</v>
      </c>
      <c r="H92">
        <f>IF(C92-'Atsipirkimo vertinimas'!$N$20&lt;0,0,1)</f>
        <v>1</v>
      </c>
      <c r="I92" s="92"/>
      <c r="J92" s="92">
        <f t="shared" si="11"/>
        <v>0</v>
      </c>
      <c r="K92" s="92"/>
      <c r="L92" s="88"/>
      <c r="N92" s="88">
        <v>88</v>
      </c>
      <c r="O92" s="92">
        <f t="shared" si="12"/>
        <v>1.4910273929271436</v>
      </c>
      <c r="P92" s="92">
        <f>IF($Z$64&lt;S92+(S92*(('Atsipirkimo vertinimas'!$N$19)/12)),($Z$64*T92)+(Q92*U92),S92+(S92*(('Atsipirkimo vertinimas'!$N$19)/12)))</f>
        <v>1.4326940595938102</v>
      </c>
      <c r="Q92" s="92">
        <f>IF(T92=0,0,S92*('Atsipirkimo vertinimas'!$N$19)/12)</f>
        <v>0.66152393991800007</v>
      </c>
      <c r="R92" s="92">
        <f t="shared" si="15"/>
        <v>0.77117011967581017</v>
      </c>
      <c r="S92" s="92">
        <f t="shared" si="16"/>
        <v>162.00586283706124</v>
      </c>
      <c r="T92">
        <f>IF(N92-'Atsipirkimo vertinimas'!$N$20&lt;0,0,1)</f>
        <v>1</v>
      </c>
      <c r="U92">
        <f>IF(N92-'Atsipirkimo vertinimas'!$N$20&gt;=0,0,1)</f>
        <v>0</v>
      </c>
      <c r="V92" s="92"/>
      <c r="W92" s="92">
        <f t="shared" si="13"/>
        <v>0</v>
      </c>
      <c r="X92" s="88"/>
    </row>
    <row r="93" spans="3:24" x14ac:dyDescent="0.25">
      <c r="C93" s="88">
        <v>89</v>
      </c>
      <c r="D93" s="92">
        <f t="shared" si="10"/>
        <v>1.6300115740740724</v>
      </c>
      <c r="E93" s="92">
        <f>IF(H93=0,0,G93*('Atsipirkimo vertinimas'!$N$19)/12)</f>
        <v>0.59945601851851682</v>
      </c>
      <c r="F93" s="92">
        <f>($G$4/('Atsipirkimo vertinimas'!$N$18*12-'Atsipirkimo vertinimas'!$N$20)*H93)</f>
        <v>0.97222222222222221</v>
      </c>
      <c r="G93" s="92">
        <f t="shared" si="14"/>
        <v>146.80555555555515</v>
      </c>
      <c r="H93">
        <f>IF(C93-'Atsipirkimo vertinimas'!$N$20&lt;0,0,1)</f>
        <v>1</v>
      </c>
      <c r="I93" s="92"/>
      <c r="J93" s="92">
        <f t="shared" si="11"/>
        <v>0</v>
      </c>
      <c r="K93" s="92"/>
      <c r="L93" s="88"/>
      <c r="N93" s="88">
        <v>89</v>
      </c>
      <c r="O93" s="92">
        <f t="shared" si="12"/>
        <v>1.4910273929271436</v>
      </c>
      <c r="P93" s="92">
        <f>IF($Z$64&lt;S93+(S93*(('Atsipirkimo vertinimas'!$N$19)/12)),($Z$64*T93)+(Q93*U93),S93+(S93*(('Atsipirkimo vertinimas'!$N$19)/12)))</f>
        <v>1.4326940595938102</v>
      </c>
      <c r="Q93" s="92">
        <f>IF(T93=0,0,S93*('Atsipirkimo vertinimas'!$N$19)/12)</f>
        <v>0.65837499526265719</v>
      </c>
      <c r="R93" s="92">
        <f t="shared" si="15"/>
        <v>0.77431906433115305</v>
      </c>
      <c r="S93" s="92">
        <f t="shared" si="16"/>
        <v>161.23469271738543</v>
      </c>
      <c r="T93">
        <f>IF(N93-'Atsipirkimo vertinimas'!$N$20&lt;0,0,1)</f>
        <v>1</v>
      </c>
      <c r="U93">
        <f>IF(N93-'Atsipirkimo vertinimas'!$N$20&gt;=0,0,1)</f>
        <v>0</v>
      </c>
      <c r="V93" s="92"/>
      <c r="W93" s="92">
        <f t="shared" si="13"/>
        <v>0</v>
      </c>
      <c r="X93" s="88"/>
    </row>
    <row r="94" spans="3:24" x14ac:dyDescent="0.25">
      <c r="C94" s="88">
        <v>90</v>
      </c>
      <c r="D94" s="92">
        <f t="shared" si="10"/>
        <v>1.6260416666666651</v>
      </c>
      <c r="E94" s="92">
        <f>IF(H94=0,0,G94*('Atsipirkimo vertinimas'!$N$19)/12)</f>
        <v>0.5954861111111095</v>
      </c>
      <c r="F94" s="92">
        <f>($G$4/('Atsipirkimo vertinimas'!$N$18*12-'Atsipirkimo vertinimas'!$N$20)*H94)</f>
        <v>0.97222222222222221</v>
      </c>
      <c r="G94" s="92">
        <f t="shared" si="14"/>
        <v>145.83333333333292</v>
      </c>
      <c r="H94">
        <f>IF(C94-'Atsipirkimo vertinimas'!$N$20&lt;0,0,1)</f>
        <v>1</v>
      </c>
      <c r="I94" s="92"/>
      <c r="J94" s="92">
        <f t="shared" si="11"/>
        <v>0</v>
      </c>
      <c r="K94" s="92"/>
      <c r="L94" s="88"/>
      <c r="N94" s="88">
        <v>90</v>
      </c>
      <c r="O94" s="92">
        <f t="shared" si="12"/>
        <v>1.4910273929271436</v>
      </c>
      <c r="P94" s="92">
        <f>IF($Z$64&lt;S94+(S94*(('Atsipirkimo vertinimas'!$N$19)/12)),($Z$64*T94)+(Q94*U94),S94+(S94*(('Atsipirkimo vertinimas'!$N$19)/12)))</f>
        <v>1.4326940595938102</v>
      </c>
      <c r="Q94" s="92">
        <f>IF(T94=0,0,S94*('Atsipirkimo vertinimas'!$N$19)/12)</f>
        <v>0.65521319241663833</v>
      </c>
      <c r="R94" s="92">
        <f t="shared" si="15"/>
        <v>0.77748086717717191</v>
      </c>
      <c r="S94" s="92">
        <f t="shared" si="16"/>
        <v>160.46037365305426</v>
      </c>
      <c r="T94">
        <f>IF(N94-'Atsipirkimo vertinimas'!$N$20&lt;0,0,1)</f>
        <v>1</v>
      </c>
      <c r="U94">
        <f>IF(N94-'Atsipirkimo vertinimas'!$N$20&gt;=0,0,1)</f>
        <v>0</v>
      </c>
      <c r="V94" s="92"/>
      <c r="W94" s="92">
        <f t="shared" si="13"/>
        <v>0</v>
      </c>
      <c r="X94" s="88"/>
    </row>
    <row r="95" spans="3:24" x14ac:dyDescent="0.25">
      <c r="C95" s="88">
        <v>91</v>
      </c>
      <c r="D95" s="92">
        <f t="shared" si="10"/>
        <v>1.6220717592592575</v>
      </c>
      <c r="E95" s="92">
        <f>IF(H95=0,0,G95*('Atsipirkimo vertinimas'!$N$19)/12)</f>
        <v>0.59151620370370195</v>
      </c>
      <c r="F95" s="92">
        <f>($G$4/('Atsipirkimo vertinimas'!$N$18*12-'Atsipirkimo vertinimas'!$N$20)*H95)</f>
        <v>0.97222222222222221</v>
      </c>
      <c r="G95" s="92">
        <f t="shared" si="14"/>
        <v>144.86111111111069</v>
      </c>
      <c r="H95">
        <f>IF(C95-'Atsipirkimo vertinimas'!$N$20&lt;0,0,1)</f>
        <v>1</v>
      </c>
      <c r="I95" s="92"/>
      <c r="J95" s="92">
        <f t="shared" si="11"/>
        <v>0</v>
      </c>
      <c r="K95" s="92"/>
      <c r="L95" s="88"/>
      <c r="N95" s="88">
        <v>91</v>
      </c>
      <c r="O95" s="92">
        <f t="shared" si="12"/>
        <v>1.4910273929271436</v>
      </c>
      <c r="P95" s="92">
        <f>IF($Z$64&lt;S95+(S95*(('Atsipirkimo vertinimas'!$N$19)/12)),($Z$64*T95)+(Q95*U95),S95+(S95*(('Atsipirkimo vertinimas'!$N$19)/12)))</f>
        <v>1.4326940595938102</v>
      </c>
      <c r="Q95" s="92">
        <f>IF(T95=0,0,S95*('Atsipirkimo vertinimas'!$N$19)/12)</f>
        <v>0.65203847887566491</v>
      </c>
      <c r="R95" s="92">
        <f t="shared" si="15"/>
        <v>0.78065558071814534</v>
      </c>
      <c r="S95" s="92">
        <f t="shared" si="16"/>
        <v>159.6828927858771</v>
      </c>
      <c r="T95">
        <f>IF(N95-'Atsipirkimo vertinimas'!$N$20&lt;0,0,1)</f>
        <v>1</v>
      </c>
      <c r="U95">
        <f>IF(N95-'Atsipirkimo vertinimas'!$N$20&gt;=0,0,1)</f>
        <v>0</v>
      </c>
      <c r="V95" s="92"/>
      <c r="W95" s="92">
        <f t="shared" si="13"/>
        <v>0</v>
      </c>
      <c r="X95" s="88"/>
    </row>
    <row r="96" spans="3:24" x14ac:dyDescent="0.25">
      <c r="C96" s="88">
        <v>92</v>
      </c>
      <c r="D96" s="92">
        <f t="shared" si="10"/>
        <v>1.6181018518518502</v>
      </c>
      <c r="E96" s="92">
        <f>IF(H96=0,0,G96*('Atsipirkimo vertinimas'!$N$19)/12)</f>
        <v>0.58754629629629462</v>
      </c>
      <c r="F96" s="92">
        <f>($G$4/('Atsipirkimo vertinimas'!$N$18*12-'Atsipirkimo vertinimas'!$N$20)*H96)</f>
        <v>0.97222222222222221</v>
      </c>
      <c r="G96" s="92">
        <f t="shared" si="14"/>
        <v>143.88888888888846</v>
      </c>
      <c r="H96">
        <f>IF(C96-'Atsipirkimo vertinimas'!$N$20&lt;0,0,1)</f>
        <v>1</v>
      </c>
      <c r="I96" s="92"/>
      <c r="J96" s="92">
        <f t="shared" si="11"/>
        <v>0</v>
      </c>
      <c r="K96" s="92"/>
      <c r="L96" s="88"/>
      <c r="N96" s="88">
        <v>92</v>
      </c>
      <c r="O96" s="92">
        <f t="shared" si="12"/>
        <v>1.4910273929271436</v>
      </c>
      <c r="P96" s="92">
        <f>IF($Z$64&lt;S96+(S96*(('Atsipirkimo vertinimas'!$N$19)/12)),($Z$64*T96)+(Q96*U96),S96+(S96*(('Atsipirkimo vertinimas'!$N$19)/12)))</f>
        <v>1.4326940595938102</v>
      </c>
      <c r="Q96" s="92">
        <f>IF(T96=0,0,S96*('Atsipirkimo vertinimas'!$N$19)/12)</f>
        <v>0.64885080192106581</v>
      </c>
      <c r="R96" s="92">
        <f t="shared" si="15"/>
        <v>0.78384325767274443</v>
      </c>
      <c r="S96" s="92">
        <f t="shared" si="16"/>
        <v>158.90223720515897</v>
      </c>
      <c r="T96">
        <f>IF(N96-'Atsipirkimo vertinimas'!$N$20&lt;0,0,1)</f>
        <v>1</v>
      </c>
      <c r="U96">
        <f>IF(N96-'Atsipirkimo vertinimas'!$N$20&gt;=0,0,1)</f>
        <v>0</v>
      </c>
      <c r="V96" s="92"/>
      <c r="W96" s="92">
        <f t="shared" si="13"/>
        <v>0</v>
      </c>
      <c r="X96" s="88"/>
    </row>
    <row r="97" spans="3:24" x14ac:dyDescent="0.25">
      <c r="C97" s="88">
        <v>93</v>
      </c>
      <c r="D97" s="92">
        <f t="shared" si="10"/>
        <v>1.6141319444444426</v>
      </c>
      <c r="E97" s="92">
        <f>IF(H97=0,0,G97*('Atsipirkimo vertinimas'!$N$19)/12)</f>
        <v>0.58357638888888708</v>
      </c>
      <c r="F97" s="92">
        <f>($G$4/('Atsipirkimo vertinimas'!$N$18*12-'Atsipirkimo vertinimas'!$N$20)*H97)</f>
        <v>0.97222222222222221</v>
      </c>
      <c r="G97" s="92">
        <f t="shared" si="14"/>
        <v>142.91666666666623</v>
      </c>
      <c r="H97">
        <f>IF(C97-'Atsipirkimo vertinimas'!$N$20&lt;0,0,1)</f>
        <v>1</v>
      </c>
      <c r="I97" s="92"/>
      <c r="J97" s="92">
        <f t="shared" si="11"/>
        <v>0</v>
      </c>
      <c r="K97" s="92"/>
      <c r="L97" s="88"/>
      <c r="N97" s="88">
        <v>93</v>
      </c>
      <c r="O97" s="92">
        <f t="shared" si="12"/>
        <v>1.4910273929271436</v>
      </c>
      <c r="P97" s="92">
        <f>IF($Z$64&lt;S97+(S97*(('Atsipirkimo vertinimas'!$N$19)/12)),($Z$64*T97)+(Q97*U97),S97+(S97*(('Atsipirkimo vertinimas'!$N$19)/12)))</f>
        <v>1.4326940595938102</v>
      </c>
      <c r="Q97" s="92">
        <f>IF(T97=0,0,S97*('Atsipirkimo vertinimas'!$N$19)/12)</f>
        <v>0.64565010861890204</v>
      </c>
      <c r="R97" s="92">
        <f t="shared" si="15"/>
        <v>0.7870439509749082</v>
      </c>
      <c r="S97" s="92">
        <f t="shared" si="16"/>
        <v>158.11839394748623</v>
      </c>
      <c r="T97">
        <f>IF(N97-'Atsipirkimo vertinimas'!$N$20&lt;0,0,1)</f>
        <v>1</v>
      </c>
      <c r="U97">
        <f>IF(N97-'Atsipirkimo vertinimas'!$N$20&gt;=0,0,1)</f>
        <v>0</v>
      </c>
      <c r="V97" s="92"/>
      <c r="W97" s="92">
        <f t="shared" si="13"/>
        <v>0</v>
      </c>
      <c r="X97" s="88"/>
    </row>
    <row r="98" spans="3:24" x14ac:dyDescent="0.25">
      <c r="C98" s="88">
        <v>94</v>
      </c>
      <c r="D98" s="92">
        <f t="shared" si="10"/>
        <v>1.6101620370370353</v>
      </c>
      <c r="E98" s="92">
        <f>IF(H98=0,0,G98*('Atsipirkimo vertinimas'!$N$19)/12)</f>
        <v>0.57960648148147975</v>
      </c>
      <c r="F98" s="92">
        <f>($G$4/('Atsipirkimo vertinimas'!$N$18*12-'Atsipirkimo vertinimas'!$N$20)*H98)</f>
        <v>0.97222222222222221</v>
      </c>
      <c r="G98" s="92">
        <f t="shared" si="14"/>
        <v>141.944444444444</v>
      </c>
      <c r="H98">
        <f>IF(C98-'Atsipirkimo vertinimas'!$N$20&lt;0,0,1)</f>
        <v>1</v>
      </c>
      <c r="I98" s="92"/>
      <c r="J98" s="92">
        <f t="shared" si="11"/>
        <v>0</v>
      </c>
      <c r="K98" s="92"/>
      <c r="L98" s="88"/>
      <c r="N98" s="88">
        <v>94</v>
      </c>
      <c r="O98" s="92">
        <f t="shared" si="12"/>
        <v>1.4910273929271436</v>
      </c>
      <c r="P98" s="92">
        <f>IF($Z$64&lt;S98+(S98*(('Atsipirkimo vertinimas'!$N$19)/12)),($Z$64*T98)+(Q98*U98),S98+(S98*(('Atsipirkimo vertinimas'!$N$19)/12)))</f>
        <v>1.4326940595938102</v>
      </c>
      <c r="Q98" s="92">
        <f>IF(T98=0,0,S98*('Atsipirkimo vertinimas'!$N$19)/12)</f>
        <v>0.64243634581908793</v>
      </c>
      <c r="R98" s="92">
        <f t="shared" si="15"/>
        <v>0.79025771377472231</v>
      </c>
      <c r="S98" s="92">
        <f t="shared" si="16"/>
        <v>157.33134999651131</v>
      </c>
      <c r="T98">
        <f>IF(N98-'Atsipirkimo vertinimas'!$N$20&lt;0,0,1)</f>
        <v>1</v>
      </c>
      <c r="U98">
        <f>IF(N98-'Atsipirkimo vertinimas'!$N$20&gt;=0,0,1)</f>
        <v>0</v>
      </c>
      <c r="V98" s="92"/>
      <c r="W98" s="92">
        <f t="shared" si="13"/>
        <v>0</v>
      </c>
      <c r="X98" s="88"/>
    </row>
    <row r="99" spans="3:24" x14ac:dyDescent="0.25">
      <c r="C99" s="88">
        <v>95</v>
      </c>
      <c r="D99" s="92">
        <f t="shared" si="10"/>
        <v>1.6061921296296278</v>
      </c>
      <c r="E99" s="92">
        <f>IF(H99=0,0,G99*('Atsipirkimo vertinimas'!$N$19)/12)</f>
        <v>0.5756365740740722</v>
      </c>
      <c r="F99" s="92">
        <f>($G$4/('Atsipirkimo vertinimas'!$N$18*12-'Atsipirkimo vertinimas'!$N$20)*H99)</f>
        <v>0.97222222222222221</v>
      </c>
      <c r="G99" s="92">
        <f t="shared" si="14"/>
        <v>140.97222222222177</v>
      </c>
      <c r="H99">
        <f>IF(C99-'Atsipirkimo vertinimas'!$N$20&lt;0,0,1)</f>
        <v>1</v>
      </c>
      <c r="I99" s="92"/>
      <c r="J99" s="92">
        <f t="shared" si="11"/>
        <v>0</v>
      </c>
      <c r="K99" s="92"/>
      <c r="L99" s="91">
        <f>IF('Atsipirkimo vertinimas'!$N$18*12&gt;Grafikas!C99,SUM(D88:D99),0)</f>
        <v>19.536319444444427</v>
      </c>
      <c r="N99" s="88">
        <v>95</v>
      </c>
      <c r="O99" s="92">
        <f t="shared" si="12"/>
        <v>1.4910273929271436</v>
      </c>
      <c r="P99" s="92">
        <f>IF($Z$64&lt;S99+(S99*(('Atsipirkimo vertinimas'!$N$19)/12)),($Z$64*T99)+(Q99*U99),S99+(S99*(('Atsipirkimo vertinimas'!$N$19)/12)))</f>
        <v>1.4326940595938102</v>
      </c>
      <c r="Q99" s="92">
        <f>IF(T99=0,0,S99*('Atsipirkimo vertinimas'!$N$19)/12)</f>
        <v>0.63920946015450764</v>
      </c>
      <c r="R99" s="92">
        <f t="shared" si="15"/>
        <v>0.79348459943930261</v>
      </c>
      <c r="S99" s="92">
        <f t="shared" si="16"/>
        <v>156.54109228273657</v>
      </c>
      <c r="T99">
        <f>IF(N99-'Atsipirkimo vertinimas'!$N$20&lt;0,0,1)</f>
        <v>1</v>
      </c>
      <c r="U99">
        <f>IF(N99-'Atsipirkimo vertinimas'!$N$20&gt;=0,0,1)</f>
        <v>0</v>
      </c>
      <c r="V99" s="92"/>
      <c r="W99" s="92">
        <f t="shared" si="13"/>
        <v>0</v>
      </c>
      <c r="X99" s="91">
        <f>IF('Atsipirkimo vertinimas'!$N$18*12&gt;Grafikas!C99,SUM(O88:O99),0)</f>
        <v>17.892328715125725</v>
      </c>
    </row>
    <row r="100" spans="3:24" x14ac:dyDescent="0.25">
      <c r="C100" s="88">
        <v>96</v>
      </c>
      <c r="D100" s="92">
        <f t="shared" si="10"/>
        <v>1.6022222222222204</v>
      </c>
      <c r="E100" s="92">
        <f>IF(H100=0,0,G100*('Atsipirkimo vertinimas'!$N$19)/12)</f>
        <v>0.57166666666666488</v>
      </c>
      <c r="F100" s="92">
        <f>($G$4/('Atsipirkimo vertinimas'!$N$18*12-'Atsipirkimo vertinimas'!$N$20)*H100)</f>
        <v>0.97222222222222221</v>
      </c>
      <c r="G100" s="92">
        <f t="shared" si="14"/>
        <v>139.99999999999955</v>
      </c>
      <c r="H100">
        <f>IF(C100-'Atsipirkimo vertinimas'!$N$20&lt;0,0,1)</f>
        <v>1</v>
      </c>
      <c r="I100" s="92"/>
      <c r="J100" s="92">
        <f t="shared" si="11"/>
        <v>0</v>
      </c>
      <c r="K100" s="92"/>
      <c r="L100" s="88"/>
      <c r="N100" s="88">
        <v>96</v>
      </c>
      <c r="O100" s="92">
        <f t="shared" si="12"/>
        <v>1.4910273929271436</v>
      </c>
      <c r="P100" s="92">
        <f>IF($Z$64&lt;S100+(S100*(('Atsipirkimo vertinimas'!$N$19)/12)),($Z$64*T100)+(Q100*U100),S100+(S100*(('Atsipirkimo vertinimas'!$N$19)/12)))</f>
        <v>1.4326940595938102</v>
      </c>
      <c r="Q100" s="92">
        <f>IF(T100=0,0,S100*('Atsipirkimo vertinimas'!$N$19)/12)</f>
        <v>0.63596939804013053</v>
      </c>
      <c r="R100" s="92">
        <f t="shared" si="15"/>
        <v>0.79672466155367971</v>
      </c>
      <c r="S100" s="92">
        <f t="shared" si="16"/>
        <v>155.74760768329728</v>
      </c>
      <c r="T100">
        <f>IF(N100-'Atsipirkimo vertinimas'!$N$20&lt;0,0,1)</f>
        <v>1</v>
      </c>
      <c r="U100">
        <f>IF(N100-'Atsipirkimo vertinimas'!$N$20&gt;=0,0,1)</f>
        <v>0</v>
      </c>
      <c r="V100" s="92"/>
      <c r="W100" s="92">
        <f t="shared" si="13"/>
        <v>0</v>
      </c>
      <c r="X100" s="88"/>
    </row>
    <row r="101" spans="3:24" x14ac:dyDescent="0.25">
      <c r="C101" s="88">
        <v>97</v>
      </c>
      <c r="D101" s="92">
        <f t="shared" si="10"/>
        <v>1.5982523148148129</v>
      </c>
      <c r="E101" s="92">
        <f>IF(H101=0,0,G101*('Atsipirkimo vertinimas'!$N$19)/12)</f>
        <v>0.56769675925925733</v>
      </c>
      <c r="F101" s="92">
        <f>($G$4/('Atsipirkimo vertinimas'!$N$18*12-'Atsipirkimo vertinimas'!$N$20)*H101)</f>
        <v>0.97222222222222221</v>
      </c>
      <c r="G101" s="92">
        <f t="shared" si="14"/>
        <v>139.02777777777732</v>
      </c>
      <c r="H101">
        <f>IF(C101-'Atsipirkimo vertinimas'!$N$20&lt;0,0,1)</f>
        <v>1</v>
      </c>
      <c r="I101" s="92"/>
      <c r="J101" s="92">
        <f t="shared" si="11"/>
        <v>0</v>
      </c>
      <c r="K101" s="92"/>
      <c r="L101" s="88"/>
      <c r="N101" s="88">
        <v>97</v>
      </c>
      <c r="O101" s="92">
        <f t="shared" si="12"/>
        <v>1.4910273929271436</v>
      </c>
      <c r="P101" s="92">
        <f>IF($Z$64&lt;S101+(S101*(('Atsipirkimo vertinimas'!$N$19)/12)),($Z$64*T101)+(Q101*U101),S101+(S101*(('Atsipirkimo vertinimas'!$N$19)/12)))</f>
        <v>1.4326940595938102</v>
      </c>
      <c r="Q101" s="92">
        <f>IF(T101=0,0,S101*('Atsipirkimo vertinimas'!$N$19)/12)</f>
        <v>0.63271610567211978</v>
      </c>
      <c r="R101" s="92">
        <f t="shared" si="15"/>
        <v>0.79997795392169047</v>
      </c>
      <c r="S101" s="92">
        <f t="shared" si="16"/>
        <v>154.95088302174361</v>
      </c>
      <c r="T101">
        <f>IF(N101-'Atsipirkimo vertinimas'!$N$20&lt;0,0,1)</f>
        <v>1</v>
      </c>
      <c r="U101">
        <f>IF(N101-'Atsipirkimo vertinimas'!$N$20&gt;=0,0,1)</f>
        <v>0</v>
      </c>
      <c r="V101" s="92"/>
      <c r="W101" s="92">
        <f t="shared" si="13"/>
        <v>0</v>
      </c>
      <c r="X101" s="88"/>
    </row>
    <row r="102" spans="3:24" x14ac:dyDescent="0.25">
      <c r="C102" s="88">
        <v>98</v>
      </c>
      <c r="D102" s="92">
        <f t="shared" si="10"/>
        <v>1.5942824074074056</v>
      </c>
      <c r="E102" s="92">
        <f>IF(H102=0,0,G102*('Atsipirkimo vertinimas'!$N$19)/12)</f>
        <v>0.56372685185185001</v>
      </c>
      <c r="F102" s="92">
        <f>($G$4/('Atsipirkimo vertinimas'!$N$18*12-'Atsipirkimo vertinimas'!$N$20)*H102)</f>
        <v>0.97222222222222221</v>
      </c>
      <c r="G102" s="92">
        <f t="shared" si="14"/>
        <v>138.05555555555509</v>
      </c>
      <c r="H102">
        <f>IF(C102-'Atsipirkimo vertinimas'!$N$20&lt;0,0,1)</f>
        <v>1</v>
      </c>
      <c r="I102" s="92"/>
      <c r="J102" s="92">
        <f t="shared" si="11"/>
        <v>0</v>
      </c>
      <c r="K102" s="92"/>
      <c r="L102" s="88"/>
      <c r="N102" s="88">
        <v>98</v>
      </c>
      <c r="O102" s="92">
        <f t="shared" si="12"/>
        <v>1.4910273929271436</v>
      </c>
      <c r="P102" s="92">
        <f>IF($Z$64&lt;S102+(S102*(('Atsipirkimo vertinimas'!$N$19)/12)),($Z$64*T102)+(Q102*U102),S102+(S102*(('Atsipirkimo vertinimas'!$N$19)/12)))</f>
        <v>1.4326940595938102</v>
      </c>
      <c r="Q102" s="92">
        <f>IF(T102=0,0,S102*('Atsipirkimo vertinimas'!$N$19)/12)</f>
        <v>0.62944952902693951</v>
      </c>
      <c r="R102" s="92">
        <f t="shared" si="15"/>
        <v>0.80324453056687073</v>
      </c>
      <c r="S102" s="92">
        <f t="shared" si="16"/>
        <v>154.15090506782192</v>
      </c>
      <c r="T102">
        <f>IF(N102-'Atsipirkimo vertinimas'!$N$20&lt;0,0,1)</f>
        <v>1</v>
      </c>
      <c r="U102">
        <f>IF(N102-'Atsipirkimo vertinimas'!$N$20&gt;=0,0,1)</f>
        <v>0</v>
      </c>
      <c r="V102" s="92"/>
      <c r="W102" s="92">
        <f t="shared" si="13"/>
        <v>0</v>
      </c>
      <c r="X102" s="88"/>
    </row>
    <row r="103" spans="3:24" x14ac:dyDescent="0.25">
      <c r="C103" s="88">
        <v>99</v>
      </c>
      <c r="D103" s="92">
        <f t="shared" si="10"/>
        <v>1.590312499999998</v>
      </c>
      <c r="E103" s="92">
        <f>IF(H103=0,0,G103*('Atsipirkimo vertinimas'!$N$19)/12)</f>
        <v>0.55975694444444246</v>
      </c>
      <c r="F103" s="92">
        <f>($G$4/('Atsipirkimo vertinimas'!$N$18*12-'Atsipirkimo vertinimas'!$N$20)*H103)</f>
        <v>0.97222222222222221</v>
      </c>
      <c r="G103" s="92">
        <f t="shared" si="14"/>
        <v>137.08333333333286</v>
      </c>
      <c r="H103">
        <f>IF(C103-'Atsipirkimo vertinimas'!$N$20&lt;0,0,1)</f>
        <v>1</v>
      </c>
      <c r="I103" s="92"/>
      <c r="J103" s="92">
        <f t="shared" si="11"/>
        <v>0</v>
      </c>
      <c r="K103" s="92"/>
      <c r="L103" s="88"/>
      <c r="N103" s="88">
        <v>99</v>
      </c>
      <c r="O103" s="92">
        <f t="shared" si="12"/>
        <v>1.4910273929271436</v>
      </c>
      <c r="P103" s="92">
        <f>IF($Z$64&lt;S103+(S103*(('Atsipirkimo vertinimas'!$N$19)/12)),($Z$64*T103)+(Q103*U103),S103+(S103*(('Atsipirkimo vertinimas'!$N$19)/12)))</f>
        <v>1.4326940595938102</v>
      </c>
      <c r="Q103" s="92">
        <f>IF(T103=0,0,S103*('Atsipirkimo vertinimas'!$N$19)/12)</f>
        <v>0.62616961386045811</v>
      </c>
      <c r="R103" s="92">
        <f t="shared" si="15"/>
        <v>0.80652444573335214</v>
      </c>
      <c r="S103" s="92">
        <f t="shared" si="16"/>
        <v>153.34766053725505</v>
      </c>
      <c r="T103">
        <f>IF(N103-'Atsipirkimo vertinimas'!$N$20&lt;0,0,1)</f>
        <v>1</v>
      </c>
      <c r="U103">
        <f>IF(N103-'Atsipirkimo vertinimas'!$N$20&gt;=0,0,1)</f>
        <v>0</v>
      </c>
      <c r="V103" s="92"/>
      <c r="W103" s="92">
        <f t="shared" si="13"/>
        <v>0</v>
      </c>
      <c r="X103" s="88"/>
    </row>
    <row r="104" spans="3:24" x14ac:dyDescent="0.25">
      <c r="C104" s="88">
        <v>100</v>
      </c>
      <c r="D104" s="92">
        <f t="shared" si="10"/>
        <v>1.5863425925925907</v>
      </c>
      <c r="E104" s="92">
        <f>IF(H104=0,0,G104*('Atsipirkimo vertinimas'!$N$19)/12)</f>
        <v>0.55578703703703514</v>
      </c>
      <c r="F104" s="92">
        <f>($G$4/('Atsipirkimo vertinimas'!$N$18*12-'Atsipirkimo vertinimas'!$N$20)*H104)</f>
        <v>0.97222222222222221</v>
      </c>
      <c r="G104" s="92">
        <f t="shared" si="14"/>
        <v>136.11111111111063</v>
      </c>
      <c r="H104">
        <f>IF(C104-'Atsipirkimo vertinimas'!$N$20&lt;0,0,1)</f>
        <v>1</v>
      </c>
      <c r="I104" s="92"/>
      <c r="J104" s="92">
        <f t="shared" si="11"/>
        <v>0</v>
      </c>
      <c r="K104" s="92"/>
      <c r="L104" s="88"/>
      <c r="N104" s="88">
        <v>100</v>
      </c>
      <c r="O104" s="92">
        <f t="shared" si="12"/>
        <v>1.4910273929271436</v>
      </c>
      <c r="P104" s="92">
        <f>IF($Z$64&lt;S104+(S104*(('Atsipirkimo vertinimas'!$N$19)/12)),($Z$64*T104)+(Q104*U104),S104+(S104*(('Atsipirkimo vertinimas'!$N$19)/12)))</f>
        <v>1.4326940595938102</v>
      </c>
      <c r="Q104" s="92">
        <f>IF(T104=0,0,S104*('Atsipirkimo vertinimas'!$N$19)/12)</f>
        <v>0.622876305707047</v>
      </c>
      <c r="R104" s="92">
        <f t="shared" si="15"/>
        <v>0.80981775388676325</v>
      </c>
      <c r="S104" s="92">
        <f t="shared" si="16"/>
        <v>152.54113609152171</v>
      </c>
      <c r="T104">
        <f>IF(N104-'Atsipirkimo vertinimas'!$N$20&lt;0,0,1)</f>
        <v>1</v>
      </c>
      <c r="U104">
        <f>IF(N104-'Atsipirkimo vertinimas'!$N$20&gt;=0,0,1)</f>
        <v>0</v>
      </c>
      <c r="V104" s="92"/>
      <c r="W104" s="92">
        <f t="shared" si="13"/>
        <v>0</v>
      </c>
      <c r="X104" s="88"/>
    </row>
    <row r="105" spans="3:24" x14ac:dyDescent="0.25">
      <c r="C105" s="88">
        <v>101</v>
      </c>
      <c r="D105" s="92">
        <f t="shared" si="10"/>
        <v>1.5823726851851834</v>
      </c>
      <c r="E105" s="92">
        <f>IF(H105=0,0,G105*('Atsipirkimo vertinimas'!$N$19)/12)</f>
        <v>0.5518171296296277</v>
      </c>
      <c r="F105" s="92">
        <f>($G$4/('Atsipirkimo vertinimas'!$N$18*12-'Atsipirkimo vertinimas'!$N$20)*H105)</f>
        <v>0.97222222222222221</v>
      </c>
      <c r="G105" s="92">
        <f t="shared" si="14"/>
        <v>135.1388888888884</v>
      </c>
      <c r="H105">
        <f>IF(C105-'Atsipirkimo vertinimas'!$N$20&lt;0,0,1)</f>
        <v>1</v>
      </c>
      <c r="I105" s="92"/>
      <c r="J105" s="92">
        <f t="shared" si="11"/>
        <v>0</v>
      </c>
      <c r="K105" s="92"/>
      <c r="L105" s="88"/>
      <c r="N105" s="88">
        <v>101</v>
      </c>
      <c r="O105" s="92">
        <f t="shared" si="12"/>
        <v>1.4910273929271436</v>
      </c>
      <c r="P105" s="92">
        <f>IF($Z$64&lt;S105+(S105*(('Atsipirkimo vertinimas'!$N$19)/12)),($Z$64*T105)+(Q105*U105),S105+(S105*(('Atsipirkimo vertinimas'!$N$19)/12)))</f>
        <v>1.4326940595938102</v>
      </c>
      <c r="Q105" s="92">
        <f>IF(T105=0,0,S105*('Atsipirkimo vertinimas'!$N$19)/12)</f>
        <v>0.61956954987867607</v>
      </c>
      <c r="R105" s="92">
        <f t="shared" si="15"/>
        <v>0.81312450971513417</v>
      </c>
      <c r="S105" s="92">
        <f t="shared" si="16"/>
        <v>151.73131833763495</v>
      </c>
      <c r="T105">
        <f>IF(N105-'Atsipirkimo vertinimas'!$N$20&lt;0,0,1)</f>
        <v>1</v>
      </c>
      <c r="U105">
        <f>IF(N105-'Atsipirkimo vertinimas'!$N$20&gt;=0,0,1)</f>
        <v>0</v>
      </c>
      <c r="V105" s="92"/>
      <c r="W105" s="92">
        <f t="shared" si="13"/>
        <v>0</v>
      </c>
      <c r="X105" s="88"/>
    </row>
    <row r="106" spans="3:24" x14ac:dyDescent="0.25">
      <c r="C106" s="88">
        <v>102</v>
      </c>
      <c r="D106" s="92">
        <f t="shared" si="10"/>
        <v>1.5784027777777758</v>
      </c>
      <c r="E106" s="92">
        <f>IF(H106=0,0,G106*('Atsipirkimo vertinimas'!$N$19)/12)</f>
        <v>0.54784722222222026</v>
      </c>
      <c r="F106" s="92">
        <f>($G$4/('Atsipirkimo vertinimas'!$N$18*12-'Atsipirkimo vertinimas'!$N$20)*H106)</f>
        <v>0.97222222222222221</v>
      </c>
      <c r="G106" s="92">
        <f t="shared" si="14"/>
        <v>134.16666666666617</v>
      </c>
      <c r="H106">
        <f>IF(C106-'Atsipirkimo vertinimas'!$N$20&lt;0,0,1)</f>
        <v>1</v>
      </c>
      <c r="I106" s="92"/>
      <c r="J106" s="92">
        <f t="shared" si="11"/>
        <v>0</v>
      </c>
      <c r="K106" s="92"/>
      <c r="L106" s="88"/>
      <c r="N106" s="88">
        <v>102</v>
      </c>
      <c r="O106" s="92">
        <f t="shared" si="12"/>
        <v>1.4910273929271436</v>
      </c>
      <c r="P106" s="92">
        <f>IF($Z$64&lt;S106+(S106*(('Atsipirkimo vertinimas'!$N$19)/12)),($Z$64*T106)+(Q106*U106),S106+(S106*(('Atsipirkimo vertinimas'!$N$19)/12)))</f>
        <v>1.4326940595938102</v>
      </c>
      <c r="Q106" s="92">
        <f>IF(T106=0,0,S106*('Atsipirkimo vertinimas'!$N$19)/12)</f>
        <v>0.61624929146400598</v>
      </c>
      <c r="R106" s="92">
        <f t="shared" si="15"/>
        <v>0.81644476812980427</v>
      </c>
      <c r="S106" s="92">
        <f t="shared" si="16"/>
        <v>150.91819382791982</v>
      </c>
      <c r="T106">
        <f>IF(N106-'Atsipirkimo vertinimas'!$N$20&lt;0,0,1)</f>
        <v>1</v>
      </c>
      <c r="U106">
        <f>IF(N106-'Atsipirkimo vertinimas'!$N$20&gt;=0,0,1)</f>
        <v>0</v>
      </c>
      <c r="V106" s="92"/>
      <c r="W106" s="92">
        <f t="shared" si="13"/>
        <v>0</v>
      </c>
      <c r="X106" s="88"/>
    </row>
    <row r="107" spans="3:24" x14ac:dyDescent="0.25">
      <c r="C107" s="88">
        <v>103</v>
      </c>
      <c r="D107" s="92">
        <f t="shared" si="10"/>
        <v>1.5744328703703683</v>
      </c>
      <c r="E107" s="92">
        <f>IF(H107=0,0,G107*('Atsipirkimo vertinimas'!$N$19)/12)</f>
        <v>0.54387731481481283</v>
      </c>
      <c r="F107" s="92">
        <f>($G$4/('Atsipirkimo vertinimas'!$N$18*12-'Atsipirkimo vertinimas'!$N$20)*H107)</f>
        <v>0.97222222222222221</v>
      </c>
      <c r="G107" s="92">
        <f t="shared" si="14"/>
        <v>133.19444444444395</v>
      </c>
      <c r="H107">
        <f>IF(C107-'Atsipirkimo vertinimas'!$N$20&lt;0,0,1)</f>
        <v>1</v>
      </c>
      <c r="I107" s="92"/>
      <c r="J107" s="92">
        <f t="shared" si="11"/>
        <v>0</v>
      </c>
      <c r="K107" s="92"/>
      <c r="L107" s="88"/>
      <c r="N107" s="88">
        <v>103</v>
      </c>
      <c r="O107" s="92">
        <f t="shared" si="12"/>
        <v>1.4910273929271436</v>
      </c>
      <c r="P107" s="92">
        <f>IF($Z$64&lt;S107+(S107*(('Atsipirkimo vertinimas'!$N$19)/12)),($Z$64*T107)+(Q107*U107),S107+(S107*(('Atsipirkimo vertinimas'!$N$19)/12)))</f>
        <v>1.4326940595938102</v>
      </c>
      <c r="Q107" s="92">
        <f>IF(T107=0,0,S107*('Atsipirkimo vertinimas'!$N$19)/12)</f>
        <v>0.61291547532747592</v>
      </c>
      <c r="R107" s="92">
        <f t="shared" si="15"/>
        <v>0.81977858426633432</v>
      </c>
      <c r="S107" s="92">
        <f t="shared" si="16"/>
        <v>150.10174905979002</v>
      </c>
      <c r="T107">
        <f>IF(N107-'Atsipirkimo vertinimas'!$N$20&lt;0,0,1)</f>
        <v>1</v>
      </c>
      <c r="U107">
        <f>IF(N107-'Atsipirkimo vertinimas'!$N$20&gt;=0,0,1)</f>
        <v>0</v>
      </c>
      <c r="V107" s="92"/>
      <c r="W107" s="92">
        <f t="shared" si="13"/>
        <v>0</v>
      </c>
      <c r="X107" s="88"/>
    </row>
    <row r="108" spans="3:24" x14ac:dyDescent="0.25">
      <c r="C108" s="88">
        <v>104</v>
      </c>
      <c r="D108" s="92">
        <f t="shared" si="10"/>
        <v>1.570462962962961</v>
      </c>
      <c r="E108" s="92">
        <f>IF(H108=0,0,G108*('Atsipirkimo vertinimas'!$N$19)/12)</f>
        <v>0.53990740740740539</v>
      </c>
      <c r="F108" s="92">
        <f>($G$4/('Atsipirkimo vertinimas'!$N$18*12-'Atsipirkimo vertinimas'!$N$20)*H108)</f>
        <v>0.97222222222222221</v>
      </c>
      <c r="G108" s="92">
        <f t="shared" si="14"/>
        <v>132.22222222222172</v>
      </c>
      <c r="H108">
        <f>IF(C108-'Atsipirkimo vertinimas'!$N$20&lt;0,0,1)</f>
        <v>1</v>
      </c>
      <c r="I108" s="92"/>
      <c r="J108" s="92">
        <f t="shared" si="11"/>
        <v>0</v>
      </c>
      <c r="K108" s="92"/>
      <c r="L108" s="88"/>
      <c r="N108" s="88">
        <v>104</v>
      </c>
      <c r="O108" s="92">
        <f t="shared" si="12"/>
        <v>1.4910273929271436</v>
      </c>
      <c r="P108" s="92">
        <f>IF($Z$64&lt;S108+(S108*(('Atsipirkimo vertinimas'!$N$19)/12)),($Z$64*T108)+(Q108*U108),S108+(S108*(('Atsipirkimo vertinimas'!$N$19)/12)))</f>
        <v>1.4326940595938102</v>
      </c>
      <c r="Q108" s="92">
        <f>IF(T108=0,0,S108*('Atsipirkimo vertinimas'!$N$19)/12)</f>
        <v>0.60956804610838844</v>
      </c>
      <c r="R108" s="92">
        <f t="shared" si="15"/>
        <v>0.8231260134854218</v>
      </c>
      <c r="S108" s="92">
        <f t="shared" si="16"/>
        <v>149.28197047552368</v>
      </c>
      <c r="T108">
        <f>IF(N108-'Atsipirkimo vertinimas'!$N$20&lt;0,0,1)</f>
        <v>1</v>
      </c>
      <c r="U108">
        <f>IF(N108-'Atsipirkimo vertinimas'!$N$20&gt;=0,0,1)</f>
        <v>0</v>
      </c>
      <c r="V108" s="92"/>
      <c r="W108" s="92">
        <f t="shared" si="13"/>
        <v>0</v>
      </c>
      <c r="X108" s="88"/>
    </row>
    <row r="109" spans="3:24" x14ac:dyDescent="0.25">
      <c r="C109" s="88">
        <v>105</v>
      </c>
      <c r="D109" s="92">
        <f t="shared" si="10"/>
        <v>1.5664930555555536</v>
      </c>
      <c r="E109" s="92">
        <f>IF(H109=0,0,G109*('Atsipirkimo vertinimas'!$N$19)/12)</f>
        <v>0.53593749999999796</v>
      </c>
      <c r="F109" s="92">
        <f>($G$4/('Atsipirkimo vertinimas'!$N$18*12-'Atsipirkimo vertinimas'!$N$20)*H109)</f>
        <v>0.97222222222222221</v>
      </c>
      <c r="G109" s="92">
        <f t="shared" si="14"/>
        <v>131.24999999999949</v>
      </c>
      <c r="H109">
        <f>IF(C109-'Atsipirkimo vertinimas'!$N$20&lt;0,0,1)</f>
        <v>1</v>
      </c>
      <c r="I109" s="92"/>
      <c r="J109" s="92">
        <f t="shared" si="11"/>
        <v>0</v>
      </c>
      <c r="K109" s="92"/>
      <c r="L109" s="88"/>
      <c r="N109" s="88">
        <v>105</v>
      </c>
      <c r="O109" s="92">
        <f t="shared" si="12"/>
        <v>1.4910273929271436</v>
      </c>
      <c r="P109" s="92">
        <f>IF($Z$64&lt;S109+(S109*(('Atsipirkimo vertinimas'!$N$19)/12)),($Z$64*T109)+(Q109*U109),S109+(S109*(('Atsipirkimo vertinimas'!$N$19)/12)))</f>
        <v>1.4326940595938102</v>
      </c>
      <c r="Q109" s="92">
        <f>IF(T109=0,0,S109*('Atsipirkimo vertinimas'!$N$19)/12)</f>
        <v>0.60620694821998955</v>
      </c>
      <c r="R109" s="92">
        <f t="shared" si="15"/>
        <v>0.82648711137382069</v>
      </c>
      <c r="S109" s="92">
        <f t="shared" si="16"/>
        <v>148.45884446203826</v>
      </c>
      <c r="T109">
        <f>IF(N109-'Atsipirkimo vertinimas'!$N$20&lt;0,0,1)</f>
        <v>1</v>
      </c>
      <c r="U109">
        <f>IF(N109-'Atsipirkimo vertinimas'!$N$20&gt;=0,0,1)</f>
        <v>0</v>
      </c>
      <c r="V109" s="92"/>
      <c r="W109" s="92">
        <f t="shared" si="13"/>
        <v>0</v>
      </c>
      <c r="X109" s="88"/>
    </row>
    <row r="110" spans="3:24" x14ac:dyDescent="0.25">
      <c r="C110" s="88">
        <v>106</v>
      </c>
      <c r="D110" s="92">
        <f t="shared" si="10"/>
        <v>1.5625231481481461</v>
      </c>
      <c r="E110" s="92">
        <f>IF(H110=0,0,G110*('Atsipirkimo vertinimas'!$N$19)/12)</f>
        <v>0.53196759259259052</v>
      </c>
      <c r="F110" s="92">
        <f>($G$4/('Atsipirkimo vertinimas'!$N$18*12-'Atsipirkimo vertinimas'!$N$20)*H110)</f>
        <v>0.97222222222222221</v>
      </c>
      <c r="G110" s="92">
        <f t="shared" si="14"/>
        <v>130.27777777777726</v>
      </c>
      <c r="H110">
        <f>IF(C110-'Atsipirkimo vertinimas'!$N$20&lt;0,0,1)</f>
        <v>1</v>
      </c>
      <c r="I110" s="92"/>
      <c r="J110" s="92">
        <f t="shared" si="11"/>
        <v>0</v>
      </c>
      <c r="K110" s="92"/>
      <c r="L110" s="88"/>
      <c r="N110" s="88">
        <v>106</v>
      </c>
      <c r="O110" s="92">
        <f t="shared" si="12"/>
        <v>1.4910273929271436</v>
      </c>
      <c r="P110" s="92">
        <f>IF($Z$64&lt;S110+(S110*(('Atsipirkimo vertinimas'!$N$19)/12)),($Z$64*T110)+(Q110*U110),S110+(S110*(('Atsipirkimo vertinimas'!$N$19)/12)))</f>
        <v>1.4326940595938102</v>
      </c>
      <c r="Q110" s="92">
        <f>IF(T110=0,0,S110*('Atsipirkimo vertinimas'!$N$19)/12)</f>
        <v>0.60283212584854651</v>
      </c>
      <c r="R110" s="92">
        <f t="shared" si="15"/>
        <v>0.82986193374526374</v>
      </c>
      <c r="S110" s="92">
        <f t="shared" si="16"/>
        <v>147.63235735066445</v>
      </c>
      <c r="T110">
        <f>IF(N110-'Atsipirkimo vertinimas'!$N$20&lt;0,0,1)</f>
        <v>1</v>
      </c>
      <c r="U110">
        <f>IF(N110-'Atsipirkimo vertinimas'!$N$20&gt;=0,0,1)</f>
        <v>0</v>
      </c>
      <c r="V110" s="92"/>
      <c r="W110" s="92">
        <f t="shared" si="13"/>
        <v>0</v>
      </c>
      <c r="X110" s="88"/>
    </row>
    <row r="111" spans="3:24" x14ac:dyDescent="0.25">
      <c r="C111" s="88">
        <v>107</v>
      </c>
      <c r="D111" s="92">
        <f t="shared" si="10"/>
        <v>1.5585532407407385</v>
      </c>
      <c r="E111" s="92">
        <f>IF(H111=0,0,G111*('Atsipirkimo vertinimas'!$N$19)/12)</f>
        <v>0.52799768518518309</v>
      </c>
      <c r="F111" s="92">
        <f>($G$4/('Atsipirkimo vertinimas'!$N$18*12-'Atsipirkimo vertinimas'!$N$20)*H111)</f>
        <v>0.97222222222222221</v>
      </c>
      <c r="G111" s="92">
        <f t="shared" si="14"/>
        <v>129.30555555555503</v>
      </c>
      <c r="H111">
        <f>IF(C111-'Atsipirkimo vertinimas'!$N$20&lt;0,0,1)</f>
        <v>1</v>
      </c>
      <c r="I111" s="92"/>
      <c r="J111" s="92">
        <f t="shared" si="11"/>
        <v>0</v>
      </c>
      <c r="K111" s="92"/>
      <c r="L111" s="91">
        <f>IF('Atsipirkimo vertinimas'!$N$18*12&gt;Grafikas!C111,SUM(D100:D111),0)</f>
        <v>18.964652777777751</v>
      </c>
      <c r="N111" s="88">
        <v>107</v>
      </c>
      <c r="O111" s="92">
        <f t="shared" si="12"/>
        <v>1.4910273929271436</v>
      </c>
      <c r="P111" s="92">
        <f>IF($Z$64&lt;S111+(S111*(('Atsipirkimo vertinimas'!$N$19)/12)),($Z$64*T111)+(Q111*U111),S111+(S111*(('Atsipirkimo vertinimas'!$N$19)/12)))</f>
        <v>1.4326940595938102</v>
      </c>
      <c r="Q111" s="92">
        <f>IF(T111=0,0,S111*('Atsipirkimo vertinimas'!$N$19)/12)</f>
        <v>0.59944352295242009</v>
      </c>
      <c r="R111" s="92">
        <f t="shared" si="15"/>
        <v>0.83325053664139015</v>
      </c>
      <c r="S111" s="92">
        <f t="shared" si="16"/>
        <v>146.80249541691919</v>
      </c>
      <c r="T111">
        <f>IF(N111-'Atsipirkimo vertinimas'!$N$20&lt;0,0,1)</f>
        <v>1</v>
      </c>
      <c r="U111">
        <f>IF(N111-'Atsipirkimo vertinimas'!$N$20&gt;=0,0,1)</f>
        <v>0</v>
      </c>
      <c r="V111" s="92"/>
      <c r="W111" s="92">
        <f t="shared" si="13"/>
        <v>0</v>
      </c>
      <c r="X111" s="91">
        <f>IF('Atsipirkimo vertinimas'!$N$18*12&gt;Grafikas!C111,SUM(O100:O111),0)</f>
        <v>17.892328715125725</v>
      </c>
    </row>
    <row r="112" spans="3:24" x14ac:dyDescent="0.25">
      <c r="C112" s="88">
        <v>108</v>
      </c>
      <c r="D112" s="92">
        <f t="shared" si="10"/>
        <v>1.5545833333333312</v>
      </c>
      <c r="E112" s="92">
        <f>IF(H112=0,0,G112*('Atsipirkimo vertinimas'!$N$19)/12)</f>
        <v>0.52402777777777565</v>
      </c>
      <c r="F112" s="92">
        <f>($G$4/('Atsipirkimo vertinimas'!$N$18*12-'Atsipirkimo vertinimas'!$N$20)*H112)</f>
        <v>0.97222222222222221</v>
      </c>
      <c r="G112" s="92">
        <f t="shared" si="14"/>
        <v>128.3333333333328</v>
      </c>
      <c r="H112">
        <f>IF(C112-'Atsipirkimo vertinimas'!$N$20&lt;0,0,1)</f>
        <v>1</v>
      </c>
      <c r="I112" s="92"/>
      <c r="J112" s="92">
        <f t="shared" si="11"/>
        <v>0</v>
      </c>
      <c r="K112" s="92"/>
      <c r="L112" s="88"/>
      <c r="N112" s="88">
        <v>108</v>
      </c>
      <c r="O112" s="92">
        <f t="shared" si="12"/>
        <v>1.4910273929271436</v>
      </c>
      <c r="P112" s="92">
        <f>IF($Z$64&lt;S112+(S112*(('Atsipirkimo vertinimas'!$N$19)/12)),($Z$64*T112)+(Q112*U112),S112+(S112*(('Atsipirkimo vertinimas'!$N$19)/12)))</f>
        <v>1.4326940595938102</v>
      </c>
      <c r="Q112" s="92">
        <f>IF(T112=0,0,S112*('Atsipirkimo vertinimas'!$N$19)/12)</f>
        <v>0.59604108326113436</v>
      </c>
      <c r="R112" s="92">
        <f t="shared" si="15"/>
        <v>0.83665297633267588</v>
      </c>
      <c r="S112" s="92">
        <f t="shared" si="16"/>
        <v>145.96924488027778</v>
      </c>
      <c r="T112">
        <f>IF(N112-'Atsipirkimo vertinimas'!$N$20&lt;0,0,1)</f>
        <v>1</v>
      </c>
      <c r="U112">
        <f>IF(N112-'Atsipirkimo vertinimas'!$N$20&gt;=0,0,1)</f>
        <v>0</v>
      </c>
      <c r="V112" s="92"/>
      <c r="W112" s="92">
        <f t="shared" si="13"/>
        <v>0</v>
      </c>
      <c r="X112" s="88"/>
    </row>
    <row r="113" spans="3:24" x14ac:dyDescent="0.25">
      <c r="C113" s="88">
        <v>109</v>
      </c>
      <c r="D113" s="92">
        <f t="shared" si="10"/>
        <v>1.5506134259259239</v>
      </c>
      <c r="E113" s="92">
        <f>IF(H113=0,0,G113*('Atsipirkimo vertinimas'!$N$19)/12)</f>
        <v>0.52005787037036821</v>
      </c>
      <c r="F113" s="92">
        <f>($G$4/('Atsipirkimo vertinimas'!$N$18*12-'Atsipirkimo vertinimas'!$N$20)*H113)</f>
        <v>0.97222222222222221</v>
      </c>
      <c r="G113" s="92">
        <f t="shared" si="14"/>
        <v>127.36111111111057</v>
      </c>
      <c r="H113">
        <f>IF(C113-'Atsipirkimo vertinimas'!$N$20&lt;0,0,1)</f>
        <v>1</v>
      </c>
      <c r="I113" s="92"/>
      <c r="J113" s="92">
        <f t="shared" si="11"/>
        <v>0</v>
      </c>
      <c r="K113" s="92"/>
      <c r="L113" s="88"/>
      <c r="N113" s="88">
        <v>109</v>
      </c>
      <c r="O113" s="92">
        <f t="shared" si="12"/>
        <v>1.4910273929271436</v>
      </c>
      <c r="P113" s="92">
        <f>IF($Z$64&lt;S113+(S113*(('Atsipirkimo vertinimas'!$N$19)/12)),($Z$64*T113)+(Q113*U113),S113+(S113*(('Atsipirkimo vertinimas'!$N$19)/12)))</f>
        <v>1.4326940595938102</v>
      </c>
      <c r="Q113" s="92">
        <f>IF(T113=0,0,S113*('Atsipirkimo vertinimas'!$N$19)/12)</f>
        <v>0.5926247502744425</v>
      </c>
      <c r="R113" s="92">
        <f t="shared" si="15"/>
        <v>0.84006930931936774</v>
      </c>
      <c r="S113" s="92">
        <f t="shared" si="16"/>
        <v>145.1325919039451</v>
      </c>
      <c r="T113">
        <f>IF(N113-'Atsipirkimo vertinimas'!$N$20&lt;0,0,1)</f>
        <v>1</v>
      </c>
      <c r="U113">
        <f>IF(N113-'Atsipirkimo vertinimas'!$N$20&gt;=0,0,1)</f>
        <v>0</v>
      </c>
      <c r="V113" s="92"/>
      <c r="W113" s="92">
        <f t="shared" si="13"/>
        <v>0</v>
      </c>
      <c r="X113" s="88"/>
    </row>
    <row r="114" spans="3:24" x14ac:dyDescent="0.25">
      <c r="C114" s="88">
        <v>110</v>
      </c>
      <c r="D114" s="92">
        <f t="shared" si="10"/>
        <v>1.5466435185185163</v>
      </c>
      <c r="E114" s="92">
        <f>IF(H114=0,0,G114*('Atsipirkimo vertinimas'!$N$19)/12)</f>
        <v>0.51608796296296078</v>
      </c>
      <c r="F114" s="92">
        <f>($G$4/('Atsipirkimo vertinimas'!$N$18*12-'Atsipirkimo vertinimas'!$N$20)*H114)</f>
        <v>0.97222222222222221</v>
      </c>
      <c r="G114" s="92">
        <f t="shared" si="14"/>
        <v>126.38888888888835</v>
      </c>
      <c r="H114">
        <f>IF(C114-'Atsipirkimo vertinimas'!$N$20&lt;0,0,1)</f>
        <v>1</v>
      </c>
      <c r="I114" s="92"/>
      <c r="J114" s="92">
        <f t="shared" si="11"/>
        <v>0</v>
      </c>
      <c r="K114" s="92"/>
      <c r="L114" s="88"/>
      <c r="N114" s="88">
        <v>110</v>
      </c>
      <c r="O114" s="92">
        <f t="shared" si="12"/>
        <v>1.4910273929271436</v>
      </c>
      <c r="P114" s="92">
        <f>IF($Z$64&lt;S114+(S114*(('Atsipirkimo vertinimas'!$N$19)/12)),($Z$64*T114)+(Q114*U114),S114+(S114*(('Atsipirkimo vertinimas'!$N$19)/12)))</f>
        <v>1.4326940595938102</v>
      </c>
      <c r="Q114" s="92">
        <f>IF(T114=0,0,S114*('Atsipirkimo vertinimas'!$N$19)/12)</f>
        <v>0.58919446726138835</v>
      </c>
      <c r="R114" s="92">
        <f t="shared" si="15"/>
        <v>0.84349959233242189</v>
      </c>
      <c r="S114" s="92">
        <f t="shared" si="16"/>
        <v>144.29252259462572</v>
      </c>
      <c r="T114">
        <f>IF(N114-'Atsipirkimo vertinimas'!$N$20&lt;0,0,1)</f>
        <v>1</v>
      </c>
      <c r="U114">
        <f>IF(N114-'Atsipirkimo vertinimas'!$N$20&gt;=0,0,1)</f>
        <v>0</v>
      </c>
      <c r="V114" s="92"/>
      <c r="W114" s="92">
        <f t="shared" si="13"/>
        <v>0</v>
      </c>
      <c r="X114" s="88"/>
    </row>
    <row r="115" spans="3:24" x14ac:dyDescent="0.25">
      <c r="C115" s="88">
        <v>111</v>
      </c>
      <c r="D115" s="92">
        <f t="shared" si="10"/>
        <v>1.5426736111111088</v>
      </c>
      <c r="E115" s="92">
        <f>IF(H115=0,0,G115*('Atsipirkimo vertinimas'!$N$19)/12)</f>
        <v>0.51211805555555334</v>
      </c>
      <c r="F115" s="92">
        <f>($G$4/('Atsipirkimo vertinimas'!$N$18*12-'Atsipirkimo vertinimas'!$N$20)*H115)</f>
        <v>0.97222222222222221</v>
      </c>
      <c r="G115" s="92">
        <f t="shared" si="14"/>
        <v>125.41666666666612</v>
      </c>
      <c r="H115">
        <f>IF(C115-'Atsipirkimo vertinimas'!$N$20&lt;0,0,1)</f>
        <v>1</v>
      </c>
      <c r="I115" s="92"/>
      <c r="J115" s="92">
        <f t="shared" si="11"/>
        <v>0</v>
      </c>
      <c r="K115" s="92"/>
      <c r="L115" s="88"/>
      <c r="N115" s="88">
        <v>111</v>
      </c>
      <c r="O115" s="92">
        <f t="shared" si="12"/>
        <v>1.4910273929271436</v>
      </c>
      <c r="P115" s="92">
        <f>IF($Z$64&lt;S115+(S115*(('Atsipirkimo vertinimas'!$N$19)/12)),($Z$64*T115)+(Q115*U115),S115+(S115*(('Atsipirkimo vertinimas'!$N$19)/12)))</f>
        <v>1.4326940595938102</v>
      </c>
      <c r="Q115" s="92">
        <f>IF(T115=0,0,S115*('Atsipirkimo vertinimas'!$N$19)/12)</f>
        <v>0.5857501772593644</v>
      </c>
      <c r="R115" s="92">
        <f t="shared" si="15"/>
        <v>0.84694388233444584</v>
      </c>
      <c r="S115" s="92">
        <f t="shared" si="16"/>
        <v>143.4490230022933</v>
      </c>
      <c r="T115">
        <f>IF(N115-'Atsipirkimo vertinimas'!$N$20&lt;0,0,1)</f>
        <v>1</v>
      </c>
      <c r="U115">
        <f>IF(N115-'Atsipirkimo vertinimas'!$N$20&gt;=0,0,1)</f>
        <v>0</v>
      </c>
      <c r="V115" s="92"/>
      <c r="W115" s="92">
        <f t="shared" si="13"/>
        <v>0</v>
      </c>
      <c r="X115" s="88"/>
    </row>
    <row r="116" spans="3:24" x14ac:dyDescent="0.25">
      <c r="C116" s="88">
        <v>112</v>
      </c>
      <c r="D116" s="92">
        <f t="shared" si="10"/>
        <v>1.5387037037037015</v>
      </c>
      <c r="E116" s="92">
        <f>IF(H116=0,0,G116*('Atsipirkimo vertinimas'!$N$19)/12)</f>
        <v>0.50814814814814591</v>
      </c>
      <c r="F116" s="92">
        <f>($G$4/('Atsipirkimo vertinimas'!$N$18*12-'Atsipirkimo vertinimas'!$N$20)*H116)</f>
        <v>0.97222222222222221</v>
      </c>
      <c r="G116" s="92">
        <f t="shared" si="14"/>
        <v>124.44444444444389</v>
      </c>
      <c r="H116">
        <f>IF(C116-'Atsipirkimo vertinimas'!$N$20&lt;0,0,1)</f>
        <v>1</v>
      </c>
      <c r="I116" s="92"/>
      <c r="J116" s="92">
        <f t="shared" si="11"/>
        <v>0</v>
      </c>
      <c r="K116" s="92"/>
      <c r="L116" s="88"/>
      <c r="N116" s="88">
        <v>112</v>
      </c>
      <c r="O116" s="92">
        <f t="shared" si="12"/>
        <v>1.4910273929271436</v>
      </c>
      <c r="P116" s="92">
        <f>IF($Z$64&lt;S116+(S116*(('Atsipirkimo vertinimas'!$N$19)/12)),($Z$64*T116)+(Q116*U116),S116+(S116*(('Atsipirkimo vertinimas'!$N$19)/12)))</f>
        <v>1.4326940595938102</v>
      </c>
      <c r="Q116" s="92">
        <f>IF(T116=0,0,S116*('Atsipirkimo vertinimas'!$N$19)/12)</f>
        <v>0.5822918230731654</v>
      </c>
      <c r="R116" s="92">
        <f t="shared" si="15"/>
        <v>0.85040223652064484</v>
      </c>
      <c r="S116" s="92">
        <f t="shared" si="16"/>
        <v>142.60207911995886</v>
      </c>
      <c r="T116">
        <f>IF(N116-'Atsipirkimo vertinimas'!$N$20&lt;0,0,1)</f>
        <v>1</v>
      </c>
      <c r="U116">
        <f>IF(N116-'Atsipirkimo vertinimas'!$N$20&gt;=0,0,1)</f>
        <v>0</v>
      </c>
      <c r="V116" s="92"/>
      <c r="W116" s="92">
        <f t="shared" si="13"/>
        <v>0</v>
      </c>
      <c r="X116" s="88"/>
    </row>
    <row r="117" spans="3:24" x14ac:dyDescent="0.25">
      <c r="C117" s="88">
        <v>113</v>
      </c>
      <c r="D117" s="92">
        <f t="shared" si="10"/>
        <v>1.5347337962962941</v>
      </c>
      <c r="E117" s="92">
        <f>IF(H117=0,0,G117*('Atsipirkimo vertinimas'!$N$19)/12)</f>
        <v>0.50417824074073847</v>
      </c>
      <c r="F117" s="92">
        <f>($G$4/('Atsipirkimo vertinimas'!$N$18*12-'Atsipirkimo vertinimas'!$N$20)*H117)</f>
        <v>0.97222222222222221</v>
      </c>
      <c r="G117" s="92">
        <f t="shared" si="14"/>
        <v>123.47222222222166</v>
      </c>
      <c r="H117">
        <f>IF(C117-'Atsipirkimo vertinimas'!$N$20&lt;0,0,1)</f>
        <v>1</v>
      </c>
      <c r="I117" s="92"/>
      <c r="J117" s="92">
        <f t="shared" si="11"/>
        <v>0</v>
      </c>
      <c r="K117" s="92"/>
      <c r="L117" s="88"/>
      <c r="N117" s="88">
        <v>113</v>
      </c>
      <c r="O117" s="92">
        <f t="shared" si="12"/>
        <v>1.4910273929271436</v>
      </c>
      <c r="P117" s="92">
        <f>IF($Z$64&lt;S117+(S117*(('Atsipirkimo vertinimas'!$N$19)/12)),($Z$64*T117)+(Q117*U117),S117+(S117*(('Atsipirkimo vertinimas'!$N$19)/12)))</f>
        <v>1.4326940595938102</v>
      </c>
      <c r="Q117" s="92">
        <f>IF(T117=0,0,S117*('Atsipirkimo vertinimas'!$N$19)/12)</f>
        <v>0.57881934727403939</v>
      </c>
      <c r="R117" s="92">
        <f t="shared" si="15"/>
        <v>0.85387471231977086</v>
      </c>
      <c r="S117" s="92">
        <f t="shared" si="16"/>
        <v>141.75167688343822</v>
      </c>
      <c r="T117">
        <f>IF(N117-'Atsipirkimo vertinimas'!$N$20&lt;0,0,1)</f>
        <v>1</v>
      </c>
      <c r="U117">
        <f>IF(N117-'Atsipirkimo vertinimas'!$N$20&gt;=0,0,1)</f>
        <v>0</v>
      </c>
      <c r="V117" s="92"/>
      <c r="W117" s="92">
        <f t="shared" si="13"/>
        <v>0</v>
      </c>
      <c r="X117" s="88"/>
    </row>
    <row r="118" spans="3:24" x14ac:dyDescent="0.25">
      <c r="C118" s="88">
        <v>114</v>
      </c>
      <c r="D118" s="92">
        <f t="shared" si="10"/>
        <v>1.5307638888888866</v>
      </c>
      <c r="E118" s="92">
        <f>IF(H118=0,0,G118*('Atsipirkimo vertinimas'!$N$19)/12)</f>
        <v>0.50020833333333103</v>
      </c>
      <c r="F118" s="92">
        <f>($G$4/('Atsipirkimo vertinimas'!$N$18*12-'Atsipirkimo vertinimas'!$N$20)*H118)</f>
        <v>0.97222222222222221</v>
      </c>
      <c r="G118" s="92">
        <f t="shared" si="14"/>
        <v>122.49999999999943</v>
      </c>
      <c r="H118">
        <f>IF(C118-'Atsipirkimo vertinimas'!$N$20&lt;0,0,1)</f>
        <v>1</v>
      </c>
      <c r="I118" s="92"/>
      <c r="J118" s="92">
        <f t="shared" si="11"/>
        <v>0</v>
      </c>
      <c r="K118" s="92"/>
      <c r="L118" s="88"/>
      <c r="N118" s="88">
        <v>114</v>
      </c>
      <c r="O118" s="92">
        <f t="shared" si="12"/>
        <v>1.4910273929271436</v>
      </c>
      <c r="P118" s="92">
        <f>IF($Z$64&lt;S118+(S118*(('Atsipirkimo vertinimas'!$N$19)/12)),($Z$64*T118)+(Q118*U118),S118+(S118*(('Atsipirkimo vertinimas'!$N$19)/12)))</f>
        <v>1.4326940595938102</v>
      </c>
      <c r="Q118" s="92">
        <f>IF(T118=0,0,S118*('Atsipirkimo vertinimas'!$N$19)/12)</f>
        <v>0.57533269219873373</v>
      </c>
      <c r="R118" s="92">
        <f t="shared" si="15"/>
        <v>0.85736136739507651</v>
      </c>
      <c r="S118" s="92">
        <f t="shared" si="16"/>
        <v>140.89780217111846</v>
      </c>
      <c r="T118">
        <f>IF(N118-'Atsipirkimo vertinimas'!$N$20&lt;0,0,1)</f>
        <v>1</v>
      </c>
      <c r="U118">
        <f>IF(N118-'Atsipirkimo vertinimas'!$N$20&gt;=0,0,1)</f>
        <v>0</v>
      </c>
      <c r="V118" s="92"/>
      <c r="W118" s="92">
        <f t="shared" si="13"/>
        <v>0</v>
      </c>
      <c r="X118" s="88"/>
    </row>
    <row r="119" spans="3:24" x14ac:dyDescent="0.25">
      <c r="C119" s="88">
        <v>115</v>
      </c>
      <c r="D119" s="92">
        <f t="shared" si="10"/>
        <v>1.526793981481479</v>
      </c>
      <c r="E119" s="92">
        <f>IF(H119=0,0,G119*('Atsipirkimo vertinimas'!$N$19)/12)</f>
        <v>0.4962384259259236</v>
      </c>
      <c r="F119" s="92">
        <f>($G$4/('Atsipirkimo vertinimas'!$N$18*12-'Atsipirkimo vertinimas'!$N$20)*H119)</f>
        <v>0.97222222222222221</v>
      </c>
      <c r="G119" s="92">
        <f t="shared" si="14"/>
        <v>121.5277777777772</v>
      </c>
      <c r="H119">
        <f>IF(C119-'Atsipirkimo vertinimas'!$N$20&lt;0,0,1)</f>
        <v>1</v>
      </c>
      <c r="I119" s="92"/>
      <c r="J119" s="92">
        <f t="shared" si="11"/>
        <v>0</v>
      </c>
      <c r="K119" s="92"/>
      <c r="L119" s="88"/>
      <c r="N119" s="88">
        <v>115</v>
      </c>
      <c r="O119" s="92">
        <f t="shared" si="12"/>
        <v>1.4910273929271436</v>
      </c>
      <c r="P119" s="92">
        <f>IF($Z$64&lt;S119+(S119*(('Atsipirkimo vertinimas'!$N$19)/12)),($Z$64*T119)+(Q119*U119),S119+(S119*(('Atsipirkimo vertinimas'!$N$19)/12)))</f>
        <v>1.4326940595938102</v>
      </c>
      <c r="Q119" s="92">
        <f>IF(T119=0,0,S119*('Atsipirkimo vertinimas'!$N$19)/12)</f>
        <v>0.57183179994853717</v>
      </c>
      <c r="R119" s="92">
        <f t="shared" si="15"/>
        <v>0.86086225964527308</v>
      </c>
      <c r="S119" s="92">
        <f t="shared" si="16"/>
        <v>140.04044080372338</v>
      </c>
      <c r="T119">
        <f>IF(N119-'Atsipirkimo vertinimas'!$N$20&lt;0,0,1)</f>
        <v>1</v>
      </c>
      <c r="U119">
        <f>IF(N119-'Atsipirkimo vertinimas'!$N$20&gt;=0,0,1)</f>
        <v>0</v>
      </c>
      <c r="V119" s="92"/>
      <c r="W119" s="92">
        <f t="shared" si="13"/>
        <v>0</v>
      </c>
      <c r="X119" s="88"/>
    </row>
    <row r="120" spans="3:24" x14ac:dyDescent="0.25">
      <c r="C120" s="88">
        <v>116</v>
      </c>
      <c r="D120" s="92">
        <f t="shared" si="10"/>
        <v>1.5228240740740717</v>
      </c>
      <c r="E120" s="92">
        <f>IF(H120=0,0,G120*('Atsipirkimo vertinimas'!$N$19)/12)</f>
        <v>0.49226851851851622</v>
      </c>
      <c r="F120" s="92">
        <f>($G$4/('Atsipirkimo vertinimas'!$N$18*12-'Atsipirkimo vertinimas'!$N$20)*H120)</f>
        <v>0.97222222222222221</v>
      </c>
      <c r="G120" s="92">
        <f t="shared" si="14"/>
        <v>120.55555555555497</v>
      </c>
      <c r="H120">
        <f>IF(C120-'Atsipirkimo vertinimas'!$N$20&lt;0,0,1)</f>
        <v>1</v>
      </c>
      <c r="I120" s="92"/>
      <c r="J120" s="92">
        <f t="shared" si="11"/>
        <v>0</v>
      </c>
      <c r="K120" s="92"/>
      <c r="L120" s="88"/>
      <c r="N120" s="88">
        <v>116</v>
      </c>
      <c r="O120" s="92">
        <f t="shared" si="12"/>
        <v>1.4910273929271436</v>
      </c>
      <c r="P120" s="92">
        <f>IF($Z$64&lt;S120+(S120*(('Atsipirkimo vertinimas'!$N$19)/12)),($Z$64*T120)+(Q120*U120),S120+(S120*(('Atsipirkimo vertinimas'!$N$19)/12)))</f>
        <v>1.4326940595938102</v>
      </c>
      <c r="Q120" s="92">
        <f>IF(T120=0,0,S120*('Atsipirkimo vertinimas'!$N$19)/12)</f>
        <v>0.56831661238831899</v>
      </c>
      <c r="R120" s="92">
        <f t="shared" si="15"/>
        <v>0.86437744720549126</v>
      </c>
      <c r="S120" s="92">
        <f t="shared" si="16"/>
        <v>139.17957854407811</v>
      </c>
      <c r="T120">
        <f>IF(N120-'Atsipirkimo vertinimas'!$N$20&lt;0,0,1)</f>
        <v>1</v>
      </c>
      <c r="U120">
        <f>IF(N120-'Atsipirkimo vertinimas'!$N$20&gt;=0,0,1)</f>
        <v>0</v>
      </c>
      <c r="V120" s="92"/>
      <c r="W120" s="92">
        <f t="shared" si="13"/>
        <v>0</v>
      </c>
      <c r="X120" s="88"/>
    </row>
    <row r="121" spans="3:24" x14ac:dyDescent="0.25">
      <c r="C121" s="88">
        <v>117</v>
      </c>
      <c r="D121" s="92">
        <f t="shared" si="10"/>
        <v>1.5188541666666644</v>
      </c>
      <c r="E121" s="92">
        <f>IF(H121=0,0,G121*('Atsipirkimo vertinimas'!$N$19)/12)</f>
        <v>0.48829861111110873</v>
      </c>
      <c r="F121" s="92">
        <f>($G$4/('Atsipirkimo vertinimas'!$N$18*12-'Atsipirkimo vertinimas'!$N$20)*H121)</f>
        <v>0.97222222222222221</v>
      </c>
      <c r="G121" s="92">
        <f t="shared" si="14"/>
        <v>119.58333333333275</v>
      </c>
      <c r="H121">
        <f>IF(C121-'Atsipirkimo vertinimas'!$N$20&lt;0,0,1)</f>
        <v>1</v>
      </c>
      <c r="I121" s="92"/>
      <c r="J121" s="92">
        <f t="shared" si="11"/>
        <v>0</v>
      </c>
      <c r="K121" s="92"/>
      <c r="L121" s="88"/>
      <c r="N121" s="88">
        <v>117</v>
      </c>
      <c r="O121" s="92">
        <f t="shared" si="12"/>
        <v>1.4910273929271436</v>
      </c>
      <c r="P121" s="92">
        <f>IF($Z$64&lt;S121+(S121*(('Atsipirkimo vertinimas'!$N$19)/12)),($Z$64*T121)+(Q121*U121),S121+(S121*(('Atsipirkimo vertinimas'!$N$19)/12)))</f>
        <v>1.4326940595938102</v>
      </c>
      <c r="Q121" s="92">
        <f>IF(T121=0,0,S121*('Atsipirkimo vertinimas'!$N$19)/12)</f>
        <v>0.56478707114556326</v>
      </c>
      <c r="R121" s="92">
        <f t="shared" si="15"/>
        <v>0.86790698844824699</v>
      </c>
      <c r="S121" s="92">
        <f t="shared" si="16"/>
        <v>138.31520109687261</v>
      </c>
      <c r="T121">
        <f>IF(N121-'Atsipirkimo vertinimas'!$N$20&lt;0,0,1)</f>
        <v>1</v>
      </c>
      <c r="U121">
        <f>IF(N121-'Atsipirkimo vertinimas'!$N$20&gt;=0,0,1)</f>
        <v>0</v>
      </c>
      <c r="V121" s="92"/>
      <c r="W121" s="92">
        <f t="shared" si="13"/>
        <v>0</v>
      </c>
      <c r="X121" s="88"/>
    </row>
    <row r="122" spans="3:24" x14ac:dyDescent="0.25">
      <c r="C122" s="88">
        <v>118</v>
      </c>
      <c r="D122" s="92">
        <f t="shared" si="10"/>
        <v>1.5148842592592568</v>
      </c>
      <c r="E122" s="92">
        <f>IF(H122=0,0,G122*('Atsipirkimo vertinimas'!$N$19)/12)</f>
        <v>0.48432870370370135</v>
      </c>
      <c r="F122" s="92">
        <f>($G$4/('Atsipirkimo vertinimas'!$N$18*12-'Atsipirkimo vertinimas'!$N$20)*H122)</f>
        <v>0.97222222222222221</v>
      </c>
      <c r="G122" s="92">
        <f t="shared" si="14"/>
        <v>118.61111111111052</v>
      </c>
      <c r="H122">
        <f>IF(C122-'Atsipirkimo vertinimas'!$N$20&lt;0,0,1)</f>
        <v>1</v>
      </c>
      <c r="I122" s="92"/>
      <c r="J122" s="92">
        <f t="shared" si="11"/>
        <v>0</v>
      </c>
      <c r="K122" s="92"/>
      <c r="L122" s="88"/>
      <c r="N122" s="88">
        <v>118</v>
      </c>
      <c r="O122" s="92">
        <f t="shared" si="12"/>
        <v>1.4910273929271436</v>
      </c>
      <c r="P122" s="92">
        <f>IF($Z$64&lt;S122+(S122*(('Atsipirkimo vertinimas'!$N$19)/12)),($Z$64*T122)+(Q122*U122),S122+(S122*(('Atsipirkimo vertinimas'!$N$19)/12)))</f>
        <v>1.4326940595938102</v>
      </c>
      <c r="Q122" s="92">
        <f>IF(T122=0,0,S122*('Atsipirkimo vertinimas'!$N$19)/12)</f>
        <v>0.56124311760939949</v>
      </c>
      <c r="R122" s="92">
        <f t="shared" si="15"/>
        <v>0.87145094198441075</v>
      </c>
      <c r="S122" s="92">
        <f t="shared" si="16"/>
        <v>137.44729410842436</v>
      </c>
      <c r="T122">
        <f>IF(N122-'Atsipirkimo vertinimas'!$N$20&lt;0,0,1)</f>
        <v>1</v>
      </c>
      <c r="U122">
        <f>IF(N122-'Atsipirkimo vertinimas'!$N$20&gt;=0,0,1)</f>
        <v>0</v>
      </c>
      <c r="V122" s="92"/>
      <c r="W122" s="92">
        <f t="shared" si="13"/>
        <v>0</v>
      </c>
      <c r="X122" s="88"/>
    </row>
    <row r="123" spans="3:24" x14ac:dyDescent="0.25">
      <c r="C123" s="89">
        <v>119</v>
      </c>
      <c r="D123" s="92">
        <f t="shared" si="10"/>
        <v>1.5109143518518493</v>
      </c>
      <c r="E123" s="92">
        <f>IF(H123=0,0,G123*('Atsipirkimo vertinimas'!$N$19)/12)</f>
        <v>0.48035879629629386</v>
      </c>
      <c r="F123" s="92">
        <f>($G$4/('Atsipirkimo vertinimas'!$N$18*12-'Atsipirkimo vertinimas'!$N$20)*H123)</f>
        <v>0.97222222222222221</v>
      </c>
      <c r="G123" s="92">
        <f t="shared" si="14"/>
        <v>117.63888888888829</v>
      </c>
      <c r="H123">
        <f>IF(C123-'Atsipirkimo vertinimas'!$N$20&lt;0,0,1)</f>
        <v>1</v>
      </c>
      <c r="I123" s="92"/>
      <c r="J123" s="92">
        <f t="shared" si="11"/>
        <v>0</v>
      </c>
      <c r="K123" s="92"/>
      <c r="L123" s="91">
        <f>IF('Atsipirkimo vertinimas'!$N$18*12&gt;Grafikas!C123,SUM(D112:D123),0)</f>
        <v>18.392986111111082</v>
      </c>
      <c r="N123" s="88">
        <v>119</v>
      </c>
      <c r="O123" s="92">
        <f t="shared" si="12"/>
        <v>1.4910273929271436</v>
      </c>
      <c r="P123" s="92">
        <f>IF($Z$64&lt;S123+(S123*(('Atsipirkimo vertinimas'!$N$19)/12)),($Z$64*T123)+(Q123*U123),S123+(S123*(('Atsipirkimo vertinimas'!$N$19)/12)))</f>
        <v>1.4326940595938102</v>
      </c>
      <c r="Q123" s="92">
        <f>IF(T123=0,0,S123*('Atsipirkimo vertinimas'!$N$19)/12)</f>
        <v>0.55768469292962974</v>
      </c>
      <c r="R123" s="92">
        <f t="shared" si="15"/>
        <v>0.8750093666641805</v>
      </c>
      <c r="S123" s="92">
        <f t="shared" si="16"/>
        <v>136.57584316643994</v>
      </c>
      <c r="T123">
        <f>IF(N123-'Atsipirkimo vertinimas'!$N$20&lt;0,0,1)</f>
        <v>1</v>
      </c>
      <c r="U123">
        <f>IF(N123-'Atsipirkimo vertinimas'!$N$20&gt;=0,0,1)</f>
        <v>0</v>
      </c>
      <c r="V123" s="92"/>
      <c r="W123" s="92">
        <f t="shared" si="13"/>
        <v>0</v>
      </c>
      <c r="X123" s="91">
        <f>IF('Atsipirkimo vertinimas'!$N$18*12&gt;Grafikas!C123,SUM(O112:O123),0)</f>
        <v>17.892328715125725</v>
      </c>
    </row>
    <row r="124" spans="3:24" x14ac:dyDescent="0.25">
      <c r="C124" s="88">
        <v>120</v>
      </c>
      <c r="D124" s="92">
        <f t="shared" si="10"/>
        <v>1.506944444444442</v>
      </c>
      <c r="E124" s="92">
        <f>IF(H124=0,0,G124*('Atsipirkimo vertinimas'!$N$19)/12)</f>
        <v>0.47638888888888647</v>
      </c>
      <c r="F124" s="92">
        <f>($G$4/('Atsipirkimo vertinimas'!$N$18*12-'Atsipirkimo vertinimas'!$N$20)*H124)</f>
        <v>0.97222222222222221</v>
      </c>
      <c r="G124" s="92">
        <f t="shared" si="14"/>
        <v>116.66666666666606</v>
      </c>
      <c r="H124">
        <f>IF(C124-'Atsipirkimo vertinimas'!$N$20&lt;0,0,1)</f>
        <v>1</v>
      </c>
      <c r="I124" s="92"/>
      <c r="J124" s="92">
        <f t="shared" si="11"/>
        <v>0</v>
      </c>
      <c r="K124" s="92"/>
      <c r="L124" s="88"/>
      <c r="N124" s="88">
        <v>120</v>
      </c>
      <c r="O124" s="92">
        <f t="shared" si="12"/>
        <v>1.4910273929271436</v>
      </c>
      <c r="P124" s="92">
        <f>IF($Z$64&lt;S124+(S124*(('Atsipirkimo vertinimas'!$N$19)/12)),($Z$64*T124)+(Q124*U124),S124+(S124*(('Atsipirkimo vertinimas'!$N$19)/12)))</f>
        <v>1.4326940595938102</v>
      </c>
      <c r="Q124" s="92">
        <f>IF(T124=0,0,S124*('Atsipirkimo vertinimas'!$N$19)/12)</f>
        <v>0.55411173801575098</v>
      </c>
      <c r="R124" s="92">
        <f t="shared" si="15"/>
        <v>0.87858232157805927</v>
      </c>
      <c r="S124" s="92">
        <f t="shared" si="16"/>
        <v>135.70083379977575</v>
      </c>
      <c r="T124">
        <f>IF(N124-'Atsipirkimo vertinimas'!$N$20&lt;0,0,1)</f>
        <v>1</v>
      </c>
      <c r="U124">
        <f>IF(N124-'Atsipirkimo vertinimas'!$N$20&gt;=0,0,1)</f>
        <v>0</v>
      </c>
      <c r="V124" s="92"/>
      <c r="W124" s="92">
        <f t="shared" si="13"/>
        <v>0</v>
      </c>
      <c r="X124" s="88"/>
    </row>
    <row r="125" spans="3:24" x14ac:dyDescent="0.25">
      <c r="C125" s="88">
        <v>121</v>
      </c>
      <c r="D125" s="92">
        <f t="shared" si="10"/>
        <v>1.5029745370370347</v>
      </c>
      <c r="E125" s="92">
        <f>IF(H125=0,0,G125*('Atsipirkimo vertinimas'!$N$19)/12)</f>
        <v>0.47241898148147898</v>
      </c>
      <c r="F125" s="92">
        <f>($G$4/('Atsipirkimo vertinimas'!$N$18*12-'Atsipirkimo vertinimas'!$N$20)*H125)</f>
        <v>0.97222222222222221</v>
      </c>
      <c r="G125" s="92">
        <f t="shared" si="14"/>
        <v>115.69444444444383</v>
      </c>
      <c r="H125">
        <f>IF(C125-'Atsipirkimo vertinimas'!$N$20&lt;0,0,1)</f>
        <v>1</v>
      </c>
      <c r="I125" s="92"/>
      <c r="J125" s="92">
        <f t="shared" si="11"/>
        <v>0</v>
      </c>
      <c r="K125" s="92"/>
      <c r="L125" s="88"/>
      <c r="N125" s="88">
        <v>121</v>
      </c>
      <c r="O125" s="92">
        <f t="shared" si="12"/>
        <v>1.4910273929271436</v>
      </c>
      <c r="P125" s="92">
        <f>IF($Z$64&lt;S125+(S125*(('Atsipirkimo vertinimas'!$N$19)/12)),($Z$64*T125)+(Q125*U125),S125+(S125*(('Atsipirkimo vertinimas'!$N$19)/12)))</f>
        <v>1.4326940595938102</v>
      </c>
      <c r="Q125" s="92">
        <f>IF(T125=0,0,S125*('Atsipirkimo vertinimas'!$N$19)/12)</f>
        <v>0.55052419353597393</v>
      </c>
      <c r="R125" s="92">
        <f t="shared" si="15"/>
        <v>0.88216986605783632</v>
      </c>
      <c r="S125" s="92">
        <f t="shared" si="16"/>
        <v>134.8222514781977</v>
      </c>
      <c r="T125">
        <f>IF(N125-'Atsipirkimo vertinimas'!$N$20&lt;0,0,1)</f>
        <v>1</v>
      </c>
      <c r="U125">
        <f>IF(N125-'Atsipirkimo vertinimas'!$N$20&gt;=0,0,1)</f>
        <v>0</v>
      </c>
      <c r="V125" s="92"/>
      <c r="W125" s="92">
        <f t="shared" si="13"/>
        <v>0</v>
      </c>
      <c r="X125" s="88"/>
    </row>
    <row r="126" spans="3:24" x14ac:dyDescent="0.25">
      <c r="C126" s="88">
        <v>122</v>
      </c>
      <c r="D126" s="92">
        <f t="shared" si="10"/>
        <v>1.4990046296296271</v>
      </c>
      <c r="E126" s="92">
        <f>IF(H126=0,0,G126*('Atsipirkimo vertinimas'!$N$19)/12)</f>
        <v>0.4684490740740716</v>
      </c>
      <c r="F126" s="92">
        <f>($G$4/('Atsipirkimo vertinimas'!$N$18*12-'Atsipirkimo vertinimas'!$N$20)*H126)</f>
        <v>0.97222222222222221</v>
      </c>
      <c r="G126" s="92">
        <f t="shared" si="14"/>
        <v>114.7222222222216</v>
      </c>
      <c r="H126">
        <f>IF(C126-'Atsipirkimo vertinimas'!$N$20&lt;0,0,1)</f>
        <v>1</v>
      </c>
      <c r="I126" s="92"/>
      <c r="J126" s="92">
        <f t="shared" si="11"/>
        <v>0</v>
      </c>
      <c r="K126" s="92"/>
      <c r="L126" s="88"/>
      <c r="N126" s="88">
        <v>122</v>
      </c>
      <c r="O126" s="92">
        <f t="shared" si="12"/>
        <v>1.4910273929271436</v>
      </c>
      <c r="P126" s="92">
        <f>IF($Z$64&lt;S126+(S126*(('Atsipirkimo vertinimas'!$N$19)/12)),($Z$64*T126)+(Q126*U126),S126+(S126*(('Atsipirkimo vertinimas'!$N$19)/12)))</f>
        <v>1.4326940595938102</v>
      </c>
      <c r="Q126" s="92">
        <f>IF(T126=0,0,S126*('Atsipirkimo vertinimas'!$N$19)/12)</f>
        <v>0.5469219999162378</v>
      </c>
      <c r="R126" s="92">
        <f t="shared" si="15"/>
        <v>0.88577205967757244</v>
      </c>
      <c r="S126" s="92">
        <f t="shared" si="16"/>
        <v>133.94008161213986</v>
      </c>
      <c r="T126">
        <f>IF(N126-'Atsipirkimo vertinimas'!$N$20&lt;0,0,1)</f>
        <v>1</v>
      </c>
      <c r="U126">
        <f>IF(N126-'Atsipirkimo vertinimas'!$N$20&gt;=0,0,1)</f>
        <v>0</v>
      </c>
      <c r="V126" s="92"/>
      <c r="W126" s="92">
        <f t="shared" si="13"/>
        <v>0</v>
      </c>
      <c r="X126" s="88"/>
    </row>
    <row r="127" spans="3:24" x14ac:dyDescent="0.25">
      <c r="C127" s="88">
        <v>123</v>
      </c>
      <c r="D127" s="92">
        <f t="shared" si="10"/>
        <v>1.4950347222222196</v>
      </c>
      <c r="E127" s="92">
        <f>IF(H127=0,0,G127*('Atsipirkimo vertinimas'!$N$19)/12)</f>
        <v>0.46447916666666411</v>
      </c>
      <c r="F127" s="92">
        <f>($G$4/('Atsipirkimo vertinimas'!$N$18*12-'Atsipirkimo vertinimas'!$N$20)*H127)</f>
        <v>0.97222222222222221</v>
      </c>
      <c r="G127" s="92">
        <f t="shared" si="14"/>
        <v>113.74999999999937</v>
      </c>
      <c r="H127">
        <f>IF(C127-'Atsipirkimo vertinimas'!$N$20&lt;0,0,1)</f>
        <v>1</v>
      </c>
      <c r="I127" s="92"/>
      <c r="J127" s="92">
        <f t="shared" si="11"/>
        <v>0</v>
      </c>
      <c r="K127" s="92"/>
      <c r="L127" s="88"/>
      <c r="N127" s="88">
        <v>123</v>
      </c>
      <c r="O127" s="92">
        <f t="shared" si="12"/>
        <v>1.4910273929271436</v>
      </c>
      <c r="P127" s="92">
        <f>IF($Z$64&lt;S127+(S127*(('Atsipirkimo vertinimas'!$N$19)/12)),($Z$64*T127)+(Q127*U127),S127+(S127*(('Atsipirkimo vertinimas'!$N$19)/12)))</f>
        <v>1.4326940595938102</v>
      </c>
      <c r="Q127" s="92">
        <f>IF(T127=0,0,S127*('Atsipirkimo vertinimas'!$N$19)/12)</f>
        <v>0.54330509733922105</v>
      </c>
      <c r="R127" s="92">
        <f t="shared" si="15"/>
        <v>0.88938896225458919</v>
      </c>
      <c r="S127" s="92">
        <f t="shared" si="16"/>
        <v>133.05430955246229</v>
      </c>
      <c r="T127">
        <f>IF(N127-'Atsipirkimo vertinimas'!$N$20&lt;0,0,1)</f>
        <v>1</v>
      </c>
      <c r="U127">
        <f>IF(N127-'Atsipirkimo vertinimas'!$N$20&gt;=0,0,1)</f>
        <v>0</v>
      </c>
      <c r="V127" s="92"/>
      <c r="W127" s="92">
        <f t="shared" si="13"/>
        <v>0</v>
      </c>
      <c r="X127" s="88"/>
    </row>
    <row r="128" spans="3:24" x14ac:dyDescent="0.25">
      <c r="C128" s="88">
        <v>124</v>
      </c>
      <c r="D128" s="92">
        <f t="shared" si="10"/>
        <v>1.4910648148148122</v>
      </c>
      <c r="E128" s="92">
        <f>IF(H128=0,0,G128*('Atsipirkimo vertinimas'!$N$19)/12)</f>
        <v>0.46050925925925673</v>
      </c>
      <c r="F128" s="92">
        <f>($G$4/('Atsipirkimo vertinimas'!$N$18*12-'Atsipirkimo vertinimas'!$N$20)*H128)</f>
        <v>0.97222222222222221</v>
      </c>
      <c r="G128" s="92">
        <f t="shared" si="14"/>
        <v>112.77777777777715</v>
      </c>
      <c r="H128">
        <f>IF(C128-'Atsipirkimo vertinimas'!$N$20&lt;0,0,1)</f>
        <v>1</v>
      </c>
      <c r="I128" s="92"/>
      <c r="J128" s="92">
        <f t="shared" si="11"/>
        <v>0</v>
      </c>
      <c r="K128" s="92"/>
      <c r="L128" s="88"/>
      <c r="N128" s="88">
        <v>124</v>
      </c>
      <c r="O128" s="92">
        <f t="shared" si="12"/>
        <v>1.4910273929271436</v>
      </c>
      <c r="P128" s="92">
        <f>IF($Z$64&lt;S128+(S128*(('Atsipirkimo vertinimas'!$N$19)/12)),($Z$64*T128)+(Q128*U128),S128+(S128*(('Atsipirkimo vertinimas'!$N$19)/12)))</f>
        <v>1.4326940595938102</v>
      </c>
      <c r="Q128" s="92">
        <f>IF(T128=0,0,S128*('Atsipirkimo vertinimas'!$N$19)/12)</f>
        <v>0.53967342574334809</v>
      </c>
      <c r="R128" s="92">
        <f t="shared" si="15"/>
        <v>0.89302063385046215</v>
      </c>
      <c r="S128" s="92">
        <f t="shared" si="16"/>
        <v>132.16492059020769</v>
      </c>
      <c r="T128">
        <f>IF(N128-'Atsipirkimo vertinimas'!$N$20&lt;0,0,1)</f>
        <v>1</v>
      </c>
      <c r="U128">
        <f>IF(N128-'Atsipirkimo vertinimas'!$N$20&gt;=0,0,1)</f>
        <v>0</v>
      </c>
      <c r="V128" s="92"/>
      <c r="W128" s="92">
        <f t="shared" si="13"/>
        <v>0</v>
      </c>
      <c r="X128" s="88"/>
    </row>
    <row r="129" spans="3:24" x14ac:dyDescent="0.25">
      <c r="C129" s="88">
        <v>125</v>
      </c>
      <c r="D129" s="92">
        <f t="shared" si="10"/>
        <v>1.4870949074074049</v>
      </c>
      <c r="E129" s="92">
        <f>IF(H129=0,0,G129*('Atsipirkimo vertinimas'!$N$19)/12)</f>
        <v>0.45653935185184924</v>
      </c>
      <c r="F129" s="92">
        <f>($G$4/('Atsipirkimo vertinimas'!$N$18*12-'Atsipirkimo vertinimas'!$N$20)*H129)</f>
        <v>0.97222222222222221</v>
      </c>
      <c r="G129" s="92">
        <f t="shared" si="14"/>
        <v>111.80555555555492</v>
      </c>
      <c r="H129">
        <f>IF(C129-'Atsipirkimo vertinimas'!$N$20&lt;0,0,1)</f>
        <v>1</v>
      </c>
      <c r="I129" s="92"/>
      <c r="J129" s="92">
        <f t="shared" si="11"/>
        <v>0</v>
      </c>
      <c r="K129" s="92"/>
      <c r="L129" s="88"/>
      <c r="N129" s="88">
        <v>125</v>
      </c>
      <c r="O129" s="92">
        <f t="shared" si="12"/>
        <v>1.4910273929271436</v>
      </c>
      <c r="P129" s="92">
        <f>IF($Z$64&lt;S129+(S129*(('Atsipirkimo vertinimas'!$N$19)/12)),($Z$64*T129)+(Q129*U129),S129+(S129*(('Atsipirkimo vertinimas'!$N$19)/12)))</f>
        <v>1.4326940595938102</v>
      </c>
      <c r="Q129" s="92">
        <f>IF(T129=0,0,S129*('Atsipirkimo vertinimas'!$N$19)/12)</f>
        <v>0.53602692482179204</v>
      </c>
      <c r="R129" s="92">
        <f t="shared" si="15"/>
        <v>0.8966671347720182</v>
      </c>
      <c r="S129" s="92">
        <f t="shared" si="16"/>
        <v>131.27189995635723</v>
      </c>
      <c r="T129">
        <f>IF(N129-'Atsipirkimo vertinimas'!$N$20&lt;0,0,1)</f>
        <v>1</v>
      </c>
      <c r="U129">
        <f>IF(N129-'Atsipirkimo vertinimas'!$N$20&gt;=0,0,1)</f>
        <v>0</v>
      </c>
      <c r="V129" s="92"/>
      <c r="W129" s="92">
        <f t="shared" si="13"/>
        <v>0</v>
      </c>
      <c r="X129" s="88"/>
    </row>
    <row r="130" spans="3:24" x14ac:dyDescent="0.25">
      <c r="C130" s="88">
        <v>126</v>
      </c>
      <c r="D130" s="92">
        <f t="shared" si="10"/>
        <v>1.4831249999999974</v>
      </c>
      <c r="E130" s="92">
        <f>IF(H130=0,0,G130*('Atsipirkimo vertinimas'!$N$19)/12)</f>
        <v>0.45256944444444186</v>
      </c>
      <c r="F130" s="92">
        <f>($G$4/('Atsipirkimo vertinimas'!$N$18*12-'Atsipirkimo vertinimas'!$N$20)*H130)</f>
        <v>0.97222222222222221</v>
      </c>
      <c r="G130" s="92">
        <f t="shared" si="14"/>
        <v>110.83333333333269</v>
      </c>
      <c r="H130">
        <f>IF(C130-'Atsipirkimo vertinimas'!$N$20&lt;0,0,1)</f>
        <v>1</v>
      </c>
      <c r="I130" s="92"/>
      <c r="J130" s="92">
        <f t="shared" si="11"/>
        <v>0</v>
      </c>
      <c r="K130" s="92"/>
      <c r="L130" s="88"/>
      <c r="N130" s="88">
        <v>126</v>
      </c>
      <c r="O130" s="92">
        <f t="shared" si="12"/>
        <v>1.4910273929271436</v>
      </c>
      <c r="P130" s="92">
        <f>IF($Z$64&lt;S130+(S130*(('Atsipirkimo vertinimas'!$N$19)/12)),($Z$64*T130)+(Q130*U130),S130+(S130*(('Atsipirkimo vertinimas'!$N$19)/12)))</f>
        <v>1.4326940595938102</v>
      </c>
      <c r="Q130" s="92">
        <f>IF(T130=0,0,S130*('Atsipirkimo vertinimas'!$N$19)/12)</f>
        <v>0.53236553402147291</v>
      </c>
      <c r="R130" s="92">
        <f t="shared" si="15"/>
        <v>0.90032852557233733</v>
      </c>
      <c r="S130" s="92">
        <f t="shared" si="16"/>
        <v>130.3752328215852</v>
      </c>
      <c r="T130">
        <f>IF(N130-'Atsipirkimo vertinimas'!$N$20&lt;0,0,1)</f>
        <v>1</v>
      </c>
      <c r="U130">
        <f>IF(N130-'Atsipirkimo vertinimas'!$N$20&gt;=0,0,1)</f>
        <v>0</v>
      </c>
      <c r="V130" s="92"/>
      <c r="W130" s="92">
        <f t="shared" si="13"/>
        <v>0</v>
      </c>
      <c r="X130" s="88"/>
    </row>
    <row r="131" spans="3:24" x14ac:dyDescent="0.25">
      <c r="C131" s="88">
        <v>127</v>
      </c>
      <c r="D131" s="92">
        <f t="shared" si="10"/>
        <v>1.4791550925925898</v>
      </c>
      <c r="E131" s="92">
        <f>IF(H131=0,0,G131*('Atsipirkimo vertinimas'!$N$19)/12)</f>
        <v>0.44859953703703437</v>
      </c>
      <c r="F131" s="92">
        <f>($G$4/('Atsipirkimo vertinimas'!$N$18*12-'Atsipirkimo vertinimas'!$N$20)*H131)</f>
        <v>0.97222222222222221</v>
      </c>
      <c r="G131" s="92">
        <f t="shared" si="14"/>
        <v>109.86111111111046</v>
      </c>
      <c r="H131">
        <f>IF(C131-'Atsipirkimo vertinimas'!$N$20&lt;0,0,1)</f>
        <v>1</v>
      </c>
      <c r="I131" s="92"/>
      <c r="J131" s="92">
        <f t="shared" si="11"/>
        <v>0</v>
      </c>
      <c r="K131" s="92"/>
      <c r="L131" s="88"/>
      <c r="N131" s="88">
        <v>127</v>
      </c>
      <c r="O131" s="92">
        <f t="shared" si="12"/>
        <v>1.4910273929271436</v>
      </c>
      <c r="P131" s="92">
        <f>IF($Z$64&lt;S131+(S131*(('Atsipirkimo vertinimas'!$N$19)/12)),($Z$64*T131)+(Q131*U131),S131+(S131*(('Atsipirkimo vertinimas'!$N$19)/12)))</f>
        <v>1.4326940595938102</v>
      </c>
      <c r="Q131" s="92">
        <f>IF(T131=0,0,S131*('Atsipirkimo vertinimas'!$N$19)/12)</f>
        <v>0.52868919254205249</v>
      </c>
      <c r="R131" s="92">
        <f t="shared" si="15"/>
        <v>0.90400486705175775</v>
      </c>
      <c r="S131" s="92">
        <f t="shared" si="16"/>
        <v>129.47490429601285</v>
      </c>
      <c r="T131">
        <f>IF(N131-'Atsipirkimo vertinimas'!$N$20&lt;0,0,1)</f>
        <v>1</v>
      </c>
      <c r="U131">
        <f>IF(N131-'Atsipirkimo vertinimas'!$N$20&gt;=0,0,1)</f>
        <v>0</v>
      </c>
      <c r="V131" s="92"/>
      <c r="W131" s="92">
        <f t="shared" si="13"/>
        <v>0</v>
      </c>
      <c r="X131" s="88"/>
    </row>
    <row r="132" spans="3:24" x14ac:dyDescent="0.25">
      <c r="C132" s="88">
        <v>128</v>
      </c>
      <c r="D132" s="92">
        <f t="shared" si="10"/>
        <v>1.4751851851851825</v>
      </c>
      <c r="E132" s="92">
        <f>IF(H132=0,0,G132*('Atsipirkimo vertinimas'!$N$19)/12)</f>
        <v>0.44462962962962699</v>
      </c>
      <c r="F132" s="92">
        <f>($G$4/('Atsipirkimo vertinimas'!$N$18*12-'Atsipirkimo vertinimas'!$N$20)*H132)</f>
        <v>0.97222222222222221</v>
      </c>
      <c r="G132" s="92">
        <f t="shared" si="14"/>
        <v>108.88888888888823</v>
      </c>
      <c r="H132">
        <f>IF(C132-'Atsipirkimo vertinimas'!$N$20&lt;0,0,1)</f>
        <v>1</v>
      </c>
      <c r="I132" s="92"/>
      <c r="J132" s="92">
        <f t="shared" si="11"/>
        <v>0</v>
      </c>
      <c r="K132" s="92"/>
      <c r="L132" s="88"/>
      <c r="N132" s="88">
        <v>128</v>
      </c>
      <c r="O132" s="92">
        <f t="shared" si="12"/>
        <v>1.4910273929271436</v>
      </c>
      <c r="P132" s="92">
        <f>IF($Z$64&lt;S132+(S132*(('Atsipirkimo vertinimas'!$N$19)/12)),($Z$64*T132)+(Q132*U132),S132+(S132*(('Atsipirkimo vertinimas'!$N$19)/12)))</f>
        <v>1.4326940595938102</v>
      </c>
      <c r="Q132" s="92">
        <f>IF(T132=0,0,S132*('Atsipirkimo vertinimas'!$N$19)/12)</f>
        <v>0.5249978393349245</v>
      </c>
      <c r="R132" s="92">
        <f t="shared" si="15"/>
        <v>0.90769622025888574</v>
      </c>
      <c r="S132" s="92">
        <f t="shared" si="16"/>
        <v>128.5708994289611</v>
      </c>
      <c r="T132">
        <f>IF(N132-'Atsipirkimo vertinimas'!$N$20&lt;0,0,1)</f>
        <v>1</v>
      </c>
      <c r="U132">
        <f>IF(N132-'Atsipirkimo vertinimas'!$N$20&gt;=0,0,1)</f>
        <v>0</v>
      </c>
      <c r="V132" s="92"/>
      <c r="W132" s="92">
        <f t="shared" si="13"/>
        <v>0</v>
      </c>
      <c r="X132" s="88"/>
    </row>
    <row r="133" spans="3:24" x14ac:dyDescent="0.25">
      <c r="C133" s="88">
        <v>129</v>
      </c>
      <c r="D133" s="92">
        <f t="shared" ref="D133:D196" si="17">IF(H133=0,E133+F133,E133+F133+$K$4)</f>
        <v>1.4712152777777752</v>
      </c>
      <c r="E133" s="92">
        <f>IF(H133=0,0,G133*('Atsipirkimo vertinimas'!$N$19)/12)</f>
        <v>0.4406597222222195</v>
      </c>
      <c r="F133" s="92">
        <f>($G$4/('Atsipirkimo vertinimas'!$N$18*12-'Atsipirkimo vertinimas'!$N$20)*H133)</f>
        <v>0.97222222222222221</v>
      </c>
      <c r="G133" s="92">
        <f t="shared" si="14"/>
        <v>107.916666666666</v>
      </c>
      <c r="H133">
        <f>IF(C133-'Atsipirkimo vertinimas'!$N$20&lt;0,0,1)</f>
        <v>1</v>
      </c>
      <c r="I133" s="92"/>
      <c r="J133" s="92">
        <f t="shared" ref="J133:J196" si="18">IF(H133=0,G133*(0.03)/12,0)</f>
        <v>0</v>
      </c>
      <c r="K133" s="92"/>
      <c r="L133" s="88"/>
      <c r="N133" s="88">
        <v>129</v>
      </c>
      <c r="O133" s="92">
        <f t="shared" ref="O133:O196" si="19">IF(T133=0,0,($X$4+P133))</f>
        <v>1.4910273929271436</v>
      </c>
      <c r="P133" s="92">
        <f>IF($Z$64&lt;S133+(S133*(('Atsipirkimo vertinimas'!$N$19)/12)),($Z$64*T133)+(Q133*U133),S133+(S133*(('Atsipirkimo vertinimas'!$N$19)/12)))</f>
        <v>1.4326940595938102</v>
      </c>
      <c r="Q133" s="92">
        <f>IF(T133=0,0,S133*('Atsipirkimo vertinimas'!$N$19)/12)</f>
        <v>0.52129141310220073</v>
      </c>
      <c r="R133" s="92">
        <f t="shared" si="15"/>
        <v>0.91140264649160951</v>
      </c>
      <c r="S133" s="92">
        <f t="shared" si="16"/>
        <v>127.66320320870221</v>
      </c>
      <c r="T133">
        <f>IF(N133-'Atsipirkimo vertinimas'!$N$20&lt;0,0,1)</f>
        <v>1</v>
      </c>
      <c r="U133">
        <f>IF(N133-'Atsipirkimo vertinimas'!$N$20&gt;=0,0,1)</f>
        <v>0</v>
      </c>
      <c r="V133" s="92"/>
      <c r="W133" s="92">
        <f t="shared" ref="W133:W145" si="20">IF(T133=0,S133*(0.03)/12,0)</f>
        <v>0</v>
      </c>
      <c r="X133" s="88"/>
    </row>
    <row r="134" spans="3:24" x14ac:dyDescent="0.25">
      <c r="C134" s="88">
        <v>130</v>
      </c>
      <c r="D134" s="92">
        <f t="shared" si="17"/>
        <v>1.4672453703703676</v>
      </c>
      <c r="E134" s="92">
        <f>IF(H134=0,0,G134*('Atsipirkimo vertinimas'!$N$19)/12)</f>
        <v>0.43668981481481212</v>
      </c>
      <c r="F134" s="92">
        <f>($G$4/('Atsipirkimo vertinimas'!$N$18*12-'Atsipirkimo vertinimas'!$N$20)*H134)</f>
        <v>0.97222222222222221</v>
      </c>
      <c r="G134" s="92">
        <f t="shared" ref="G134:G197" si="21">(G133-F133)</f>
        <v>106.94444444444377</v>
      </c>
      <c r="H134">
        <f>IF(C134-'Atsipirkimo vertinimas'!$N$20&lt;0,0,1)</f>
        <v>1</v>
      </c>
      <c r="I134" s="92"/>
      <c r="J134" s="92">
        <f t="shared" si="18"/>
        <v>0</v>
      </c>
      <c r="K134" s="92"/>
      <c r="L134" s="88"/>
      <c r="N134" s="88">
        <v>130</v>
      </c>
      <c r="O134" s="92">
        <f t="shared" si="19"/>
        <v>1.4910273929271436</v>
      </c>
      <c r="P134" s="92">
        <f>IF($Z$64&lt;S134+(S134*(('Atsipirkimo vertinimas'!$N$19)/12)),($Z$64*T134)+(Q134*U134),S134+(S134*(('Atsipirkimo vertinimas'!$N$19)/12)))</f>
        <v>1.4326940595938102</v>
      </c>
      <c r="Q134" s="92">
        <f>IF(T134=0,0,S134*('Atsipirkimo vertinimas'!$N$19)/12)</f>
        <v>0.5175698522956933</v>
      </c>
      <c r="R134" s="92">
        <f t="shared" ref="R134:R197" si="22">(P134-Q134)*T134</f>
        <v>0.91512420729811694</v>
      </c>
      <c r="S134" s="92">
        <f t="shared" ref="S134:S197" si="23">(S133-R133)</f>
        <v>126.7518005622106</v>
      </c>
      <c r="T134">
        <f>IF(N134-'Atsipirkimo vertinimas'!$N$20&lt;0,0,1)</f>
        <v>1</v>
      </c>
      <c r="U134">
        <f>IF(N134-'Atsipirkimo vertinimas'!$N$20&gt;=0,0,1)</f>
        <v>0</v>
      </c>
      <c r="V134" s="92"/>
      <c r="W134" s="92">
        <f t="shared" si="20"/>
        <v>0</v>
      </c>
      <c r="X134" s="88"/>
    </row>
    <row r="135" spans="3:24" x14ac:dyDescent="0.25">
      <c r="C135" s="88">
        <v>131</v>
      </c>
      <c r="D135" s="92">
        <f t="shared" si="17"/>
        <v>1.4632754629629603</v>
      </c>
      <c r="E135" s="92">
        <f>IF(H135=0,0,G135*('Atsipirkimo vertinimas'!$N$19)/12)</f>
        <v>0.43271990740740468</v>
      </c>
      <c r="F135" s="92">
        <f>($G$4/('Atsipirkimo vertinimas'!$N$18*12-'Atsipirkimo vertinimas'!$N$20)*H135)</f>
        <v>0.97222222222222221</v>
      </c>
      <c r="G135" s="92">
        <f t="shared" si="21"/>
        <v>105.97222222222155</v>
      </c>
      <c r="H135">
        <f>IF(C135-'Atsipirkimo vertinimas'!$N$20&lt;0,0,1)</f>
        <v>1</v>
      </c>
      <c r="I135" s="92"/>
      <c r="J135" s="92">
        <f t="shared" si="18"/>
        <v>0</v>
      </c>
      <c r="K135" s="92"/>
      <c r="L135" s="91">
        <f>IF('Atsipirkimo vertinimas'!$N$18*12&gt;Grafikas!C135,SUM(D124:D135),0)</f>
        <v>17.821319444444416</v>
      </c>
      <c r="N135" s="88">
        <v>131</v>
      </c>
      <c r="O135" s="92">
        <f t="shared" si="19"/>
        <v>1.4910273929271436</v>
      </c>
      <c r="P135" s="92">
        <f>IF($Z$64&lt;S135+(S135*(('Atsipirkimo vertinimas'!$N$19)/12)),($Z$64*T135)+(Q135*U135),S135+(S135*(('Atsipirkimo vertinimas'!$N$19)/12)))</f>
        <v>1.4326940595938102</v>
      </c>
      <c r="Q135" s="92">
        <f>IF(T135=0,0,S135*('Atsipirkimo vertinimas'!$N$19)/12)</f>
        <v>0.51383309511589259</v>
      </c>
      <c r="R135" s="92">
        <f t="shared" si="22"/>
        <v>0.91886096447791765</v>
      </c>
      <c r="S135" s="92">
        <f t="shared" si="23"/>
        <v>125.83667635491248</v>
      </c>
      <c r="T135">
        <f>IF(N135-'Atsipirkimo vertinimas'!$N$20&lt;0,0,1)</f>
        <v>1</v>
      </c>
      <c r="U135">
        <f>IF(N135-'Atsipirkimo vertinimas'!$N$20&gt;=0,0,1)</f>
        <v>0</v>
      </c>
      <c r="V135" s="92"/>
      <c r="W135" s="92">
        <f t="shared" si="20"/>
        <v>0</v>
      </c>
      <c r="X135" s="91">
        <f>IF('Atsipirkimo vertinimas'!$N$18*12&gt;Grafikas!C135,SUM(O124:O135),0)</f>
        <v>17.892328715125725</v>
      </c>
    </row>
    <row r="136" spans="3:24" x14ac:dyDescent="0.25">
      <c r="C136" s="88">
        <v>132</v>
      </c>
      <c r="D136" s="92">
        <f t="shared" si="17"/>
        <v>1.4593055555555527</v>
      </c>
      <c r="E136" s="92">
        <f>IF(H136=0,0,G136*('Atsipirkimo vertinimas'!$N$19)/12)</f>
        <v>0.42874999999999724</v>
      </c>
      <c r="F136" s="92">
        <f>($G$4/('Atsipirkimo vertinimas'!$N$18*12-'Atsipirkimo vertinimas'!$N$20)*H136)</f>
        <v>0.97222222222222221</v>
      </c>
      <c r="G136" s="92">
        <f t="shared" si="21"/>
        <v>104.99999999999932</v>
      </c>
      <c r="H136">
        <f>IF(C136-'Atsipirkimo vertinimas'!$N$20&lt;0,0,1)</f>
        <v>1</v>
      </c>
      <c r="I136" s="92"/>
      <c r="J136" s="92">
        <f t="shared" si="18"/>
        <v>0</v>
      </c>
      <c r="K136" s="92"/>
      <c r="L136" s="88"/>
      <c r="N136" s="88">
        <v>132</v>
      </c>
      <c r="O136" s="92">
        <f t="shared" si="19"/>
        <v>1.4910273929271436</v>
      </c>
      <c r="P136" s="92">
        <f>IF($Z$64&lt;S136+(S136*(('Atsipirkimo vertinimas'!$N$19)/12)),($Z$64*T136)+(Q136*U136),S136+(S136*(('Atsipirkimo vertinimas'!$N$19)/12)))</f>
        <v>1.4326940595938102</v>
      </c>
      <c r="Q136" s="92">
        <f>IF(T136=0,0,S136*('Atsipirkimo vertinimas'!$N$19)/12)</f>
        <v>0.51008107951094117</v>
      </c>
      <c r="R136" s="92">
        <f t="shared" si="22"/>
        <v>0.92261298008286907</v>
      </c>
      <c r="S136" s="92">
        <f t="shared" si="23"/>
        <v>124.91781539043457</v>
      </c>
      <c r="T136">
        <f>IF(N136-'Atsipirkimo vertinimas'!$N$20&lt;0,0,1)</f>
        <v>1</v>
      </c>
      <c r="U136">
        <f>IF(N136-'Atsipirkimo vertinimas'!$N$20&gt;=0,0,1)</f>
        <v>0</v>
      </c>
      <c r="V136" s="92"/>
      <c r="W136" s="92">
        <f t="shared" si="20"/>
        <v>0</v>
      </c>
      <c r="X136" s="88"/>
    </row>
    <row r="137" spans="3:24" x14ac:dyDescent="0.25">
      <c r="C137" s="88">
        <v>133</v>
      </c>
      <c r="D137" s="92">
        <f t="shared" si="17"/>
        <v>1.4553356481481454</v>
      </c>
      <c r="E137" s="92">
        <f>IF(H137=0,0,G137*('Atsipirkimo vertinimas'!$N$19)/12)</f>
        <v>0.42478009259258981</v>
      </c>
      <c r="F137" s="92">
        <f>($G$4/('Atsipirkimo vertinimas'!$N$18*12-'Atsipirkimo vertinimas'!$N$20)*H137)</f>
        <v>0.97222222222222221</v>
      </c>
      <c r="G137" s="92">
        <f t="shared" si="21"/>
        <v>104.02777777777709</v>
      </c>
      <c r="H137">
        <f>IF(C137-'Atsipirkimo vertinimas'!$N$20&lt;0,0,1)</f>
        <v>1</v>
      </c>
      <c r="I137" s="92"/>
      <c r="J137" s="92">
        <f t="shared" si="18"/>
        <v>0</v>
      </c>
      <c r="K137" s="92"/>
      <c r="L137" s="88"/>
      <c r="N137" s="88">
        <v>133</v>
      </c>
      <c r="O137" s="92">
        <f t="shared" si="19"/>
        <v>1.4910273929271436</v>
      </c>
      <c r="P137" s="92">
        <f>IF($Z$64&lt;S137+(S137*(('Atsipirkimo vertinimas'!$N$19)/12)),($Z$64*T137)+(Q137*U137),S137+(S137*(('Atsipirkimo vertinimas'!$N$19)/12)))</f>
        <v>1.4326940595938102</v>
      </c>
      <c r="Q137" s="92">
        <f>IF(T137=0,0,S137*('Atsipirkimo vertinimas'!$N$19)/12)</f>
        <v>0.50631374317560274</v>
      </c>
      <c r="R137" s="92">
        <f t="shared" si="22"/>
        <v>0.92638031641820751</v>
      </c>
      <c r="S137" s="92">
        <f t="shared" si="23"/>
        <v>123.99520241035169</v>
      </c>
      <c r="T137">
        <f>IF(N137-'Atsipirkimo vertinimas'!$N$20&lt;0,0,1)</f>
        <v>1</v>
      </c>
      <c r="U137">
        <f>IF(N137-'Atsipirkimo vertinimas'!$N$20&gt;=0,0,1)</f>
        <v>0</v>
      </c>
      <c r="V137" s="92"/>
      <c r="W137" s="92">
        <f t="shared" si="20"/>
        <v>0</v>
      </c>
      <c r="X137" s="88"/>
    </row>
    <row r="138" spans="3:24" x14ac:dyDescent="0.25">
      <c r="C138" s="88">
        <v>134</v>
      </c>
      <c r="D138" s="92">
        <f t="shared" si="17"/>
        <v>1.4513657407407379</v>
      </c>
      <c r="E138" s="92">
        <f>IF(H138=0,0,G138*('Atsipirkimo vertinimas'!$N$19)/12)</f>
        <v>0.42081018518518237</v>
      </c>
      <c r="F138" s="92">
        <f>($G$4/('Atsipirkimo vertinimas'!$N$18*12-'Atsipirkimo vertinimas'!$N$20)*H138)</f>
        <v>0.97222222222222221</v>
      </c>
      <c r="G138" s="92">
        <f t="shared" si="21"/>
        <v>103.05555555555486</v>
      </c>
      <c r="H138">
        <f>IF(C138-'Atsipirkimo vertinimas'!$N$20&lt;0,0,1)</f>
        <v>1</v>
      </c>
      <c r="I138" s="92"/>
      <c r="J138" s="92">
        <f t="shared" si="18"/>
        <v>0</v>
      </c>
      <c r="K138" s="92"/>
      <c r="L138" s="88"/>
      <c r="N138" s="88">
        <v>134</v>
      </c>
      <c r="O138" s="92">
        <f t="shared" si="19"/>
        <v>1.4910273929271436</v>
      </c>
      <c r="P138" s="92">
        <f>IF($Z$64&lt;S138+(S138*(('Atsipirkimo vertinimas'!$N$19)/12)),($Z$64*T138)+(Q138*U138),S138+(S138*(('Atsipirkimo vertinimas'!$N$19)/12)))</f>
        <v>1.4326940595938102</v>
      </c>
      <c r="Q138" s="92">
        <f>IF(T138=0,0,S138*('Atsipirkimo vertinimas'!$N$19)/12)</f>
        <v>0.50253102355022838</v>
      </c>
      <c r="R138" s="92">
        <f t="shared" si="22"/>
        <v>0.93016303604358186</v>
      </c>
      <c r="S138" s="92">
        <f t="shared" si="23"/>
        <v>123.06882209393349</v>
      </c>
      <c r="T138">
        <f>IF(N138-'Atsipirkimo vertinimas'!$N$20&lt;0,0,1)</f>
        <v>1</v>
      </c>
      <c r="U138">
        <f>IF(N138-'Atsipirkimo vertinimas'!$N$20&gt;=0,0,1)</f>
        <v>0</v>
      </c>
      <c r="V138" s="92"/>
      <c r="W138" s="92">
        <f t="shared" si="20"/>
        <v>0</v>
      </c>
      <c r="X138" s="88"/>
    </row>
    <row r="139" spans="3:24" x14ac:dyDescent="0.25">
      <c r="C139" s="88">
        <v>135</v>
      </c>
      <c r="D139" s="92">
        <f t="shared" si="17"/>
        <v>1.4473958333333306</v>
      </c>
      <c r="E139" s="92">
        <f>IF(H139=0,0,G139*('Atsipirkimo vertinimas'!$N$19)/12)</f>
        <v>0.41684027777777494</v>
      </c>
      <c r="F139" s="92">
        <f>($G$4/('Atsipirkimo vertinimas'!$N$18*12-'Atsipirkimo vertinimas'!$N$20)*H139)</f>
        <v>0.97222222222222221</v>
      </c>
      <c r="G139" s="92">
        <f t="shared" si="21"/>
        <v>102.08333333333263</v>
      </c>
      <c r="H139">
        <f>IF(C139-'Atsipirkimo vertinimas'!$N$20&lt;0,0,1)</f>
        <v>1</v>
      </c>
      <c r="I139" s="92"/>
      <c r="J139" s="92">
        <f t="shared" si="18"/>
        <v>0</v>
      </c>
      <c r="K139" s="92"/>
      <c r="L139" s="88"/>
      <c r="N139" s="88">
        <v>135</v>
      </c>
      <c r="O139" s="92">
        <f t="shared" si="19"/>
        <v>1.4910273929271436</v>
      </c>
      <c r="P139" s="92">
        <f>IF($Z$64&lt;S139+(S139*(('Atsipirkimo vertinimas'!$N$19)/12)),($Z$64*T139)+(Q139*U139),S139+(S139*(('Atsipirkimo vertinimas'!$N$19)/12)))</f>
        <v>1.4326940595938102</v>
      </c>
      <c r="Q139" s="92">
        <f>IF(T139=0,0,S139*('Atsipirkimo vertinimas'!$N$19)/12)</f>
        <v>0.49873285781971716</v>
      </c>
      <c r="R139" s="92">
        <f t="shared" si="22"/>
        <v>0.93396120177409303</v>
      </c>
      <c r="S139" s="92">
        <f t="shared" si="23"/>
        <v>122.13865905788991</v>
      </c>
      <c r="T139">
        <f>IF(N139-'Atsipirkimo vertinimas'!$N$20&lt;0,0,1)</f>
        <v>1</v>
      </c>
      <c r="U139">
        <f>IF(N139-'Atsipirkimo vertinimas'!$N$20&gt;=0,0,1)</f>
        <v>0</v>
      </c>
      <c r="V139" s="92"/>
      <c r="W139" s="92">
        <f t="shared" si="20"/>
        <v>0</v>
      </c>
      <c r="X139" s="88"/>
    </row>
    <row r="140" spans="3:24" x14ac:dyDescent="0.25">
      <c r="C140" s="88">
        <v>136</v>
      </c>
      <c r="D140" s="92">
        <f t="shared" si="17"/>
        <v>1.443425925925923</v>
      </c>
      <c r="E140" s="92">
        <f>IF(H140=0,0,G140*('Atsipirkimo vertinimas'!$N$19)/12)</f>
        <v>0.4128703703703675</v>
      </c>
      <c r="F140" s="92">
        <f>($G$4/('Atsipirkimo vertinimas'!$N$18*12-'Atsipirkimo vertinimas'!$N$20)*H140)</f>
        <v>0.97222222222222221</v>
      </c>
      <c r="G140" s="92">
        <f t="shared" si="21"/>
        <v>101.1111111111104</v>
      </c>
      <c r="H140">
        <f>IF(C140-'Atsipirkimo vertinimas'!$N$20&lt;0,0,1)</f>
        <v>1</v>
      </c>
      <c r="I140" s="92"/>
      <c r="J140" s="92">
        <f t="shared" si="18"/>
        <v>0</v>
      </c>
      <c r="K140" s="92"/>
      <c r="L140" s="88"/>
      <c r="N140" s="88">
        <v>136</v>
      </c>
      <c r="O140" s="92">
        <f t="shared" si="19"/>
        <v>1.4910273929271436</v>
      </c>
      <c r="P140" s="92">
        <f>IF($Z$64&lt;S140+(S140*(('Atsipirkimo vertinimas'!$N$19)/12)),($Z$64*T140)+(Q140*U140),S140+(S140*(('Atsipirkimo vertinimas'!$N$19)/12)))</f>
        <v>1.4326940595938102</v>
      </c>
      <c r="Q140" s="92">
        <f>IF(T140=0,0,S140*('Atsipirkimo vertinimas'!$N$19)/12)</f>
        <v>0.49491918291247289</v>
      </c>
      <c r="R140" s="92">
        <f t="shared" si="22"/>
        <v>0.93777487668133741</v>
      </c>
      <c r="S140" s="92">
        <f t="shared" si="23"/>
        <v>121.20469785611581</v>
      </c>
      <c r="T140">
        <f>IF(N140-'Atsipirkimo vertinimas'!$N$20&lt;0,0,1)</f>
        <v>1</v>
      </c>
      <c r="U140">
        <f>IF(N140-'Atsipirkimo vertinimas'!$N$20&gt;=0,0,1)</f>
        <v>0</v>
      </c>
      <c r="V140" s="92"/>
      <c r="W140" s="92">
        <f t="shared" si="20"/>
        <v>0</v>
      </c>
      <c r="X140" s="88"/>
    </row>
    <row r="141" spans="3:24" x14ac:dyDescent="0.25">
      <c r="C141" s="88">
        <v>137</v>
      </c>
      <c r="D141" s="92">
        <f t="shared" si="17"/>
        <v>1.4394560185185157</v>
      </c>
      <c r="E141" s="92">
        <f>IF(H141=0,0,G141*('Atsipirkimo vertinimas'!$N$19)/12)</f>
        <v>0.40890046296296007</v>
      </c>
      <c r="F141" s="92">
        <f>($G$4/('Atsipirkimo vertinimas'!$N$18*12-'Atsipirkimo vertinimas'!$N$20)*H141)</f>
        <v>0.97222222222222221</v>
      </c>
      <c r="G141" s="92">
        <f t="shared" si="21"/>
        <v>100.13888888888818</v>
      </c>
      <c r="H141">
        <f>IF(C141-'Atsipirkimo vertinimas'!$N$20&lt;0,0,1)</f>
        <v>1</v>
      </c>
      <c r="I141" s="92"/>
      <c r="J141" s="92">
        <f t="shared" si="18"/>
        <v>0</v>
      </c>
      <c r="K141" s="92"/>
      <c r="L141" s="88"/>
      <c r="N141" s="88">
        <v>137</v>
      </c>
      <c r="O141" s="92">
        <f t="shared" si="19"/>
        <v>1.4910273929271436</v>
      </c>
      <c r="P141" s="92">
        <f>IF($Z$64&lt;S141+(S141*(('Atsipirkimo vertinimas'!$N$19)/12)),($Z$64*T141)+(Q141*U141),S141+(S141*(('Atsipirkimo vertinimas'!$N$19)/12)))</f>
        <v>1.4326940595938102</v>
      </c>
      <c r="Q141" s="92">
        <f>IF(T141=0,0,S141*('Atsipirkimo vertinimas'!$N$19)/12)</f>
        <v>0.49108993549935748</v>
      </c>
      <c r="R141" s="92">
        <f t="shared" si="22"/>
        <v>0.94160412409445282</v>
      </c>
      <c r="S141" s="92">
        <f t="shared" si="23"/>
        <v>120.26692297943448</v>
      </c>
      <c r="T141">
        <f>IF(N141-'Atsipirkimo vertinimas'!$N$20&lt;0,0,1)</f>
        <v>1</v>
      </c>
      <c r="U141">
        <f>IF(N141-'Atsipirkimo vertinimas'!$N$20&gt;=0,0,1)</f>
        <v>0</v>
      </c>
      <c r="V141" s="92"/>
      <c r="W141" s="92">
        <f t="shared" si="20"/>
        <v>0</v>
      </c>
      <c r="X141" s="88"/>
    </row>
    <row r="142" spans="3:24" x14ac:dyDescent="0.25">
      <c r="C142" s="88">
        <v>138</v>
      </c>
      <c r="D142" s="92">
        <f t="shared" si="17"/>
        <v>1.4354861111111081</v>
      </c>
      <c r="E142" s="92">
        <f>IF(H142=0,0,G142*('Atsipirkimo vertinimas'!$N$19)/12)</f>
        <v>0.40493055555555263</v>
      </c>
      <c r="F142" s="92">
        <f>($G$4/('Atsipirkimo vertinimas'!$N$18*12-'Atsipirkimo vertinimas'!$N$20)*H142)</f>
        <v>0.97222222222222221</v>
      </c>
      <c r="G142" s="92">
        <f t="shared" si="21"/>
        <v>99.166666666665947</v>
      </c>
      <c r="H142">
        <f>IF(C142-'Atsipirkimo vertinimas'!$N$20&lt;0,0,1)</f>
        <v>1</v>
      </c>
      <c r="I142" s="92"/>
      <c r="J142" s="92">
        <f t="shared" si="18"/>
        <v>0</v>
      </c>
      <c r="K142" s="92"/>
      <c r="L142" s="88"/>
      <c r="N142" s="88">
        <v>138</v>
      </c>
      <c r="O142" s="92">
        <f t="shared" si="19"/>
        <v>1.4910273929271436</v>
      </c>
      <c r="P142" s="92">
        <f>IF($Z$64&lt;S142+(S142*(('Atsipirkimo vertinimas'!$N$19)/12)),($Z$64*T142)+(Q142*U142),S142+(S142*(('Atsipirkimo vertinimas'!$N$19)/12)))</f>
        <v>1.4326940595938102</v>
      </c>
      <c r="Q142" s="92">
        <f>IF(T142=0,0,S142*('Atsipirkimo vertinimas'!$N$19)/12)</f>
        <v>0.48724505199263851</v>
      </c>
      <c r="R142" s="92">
        <f t="shared" si="22"/>
        <v>0.94544900760117168</v>
      </c>
      <c r="S142" s="92">
        <f t="shared" si="23"/>
        <v>119.32531885534003</v>
      </c>
      <c r="T142">
        <f>IF(N142-'Atsipirkimo vertinimas'!$N$20&lt;0,0,1)</f>
        <v>1</v>
      </c>
      <c r="U142">
        <f>IF(N142-'Atsipirkimo vertinimas'!$N$20&gt;=0,0,1)</f>
        <v>0</v>
      </c>
      <c r="V142" s="92"/>
      <c r="W142" s="92">
        <f t="shared" si="20"/>
        <v>0</v>
      </c>
      <c r="X142" s="88"/>
    </row>
    <row r="143" spans="3:24" x14ac:dyDescent="0.25">
      <c r="C143" s="88">
        <v>139</v>
      </c>
      <c r="D143" s="92">
        <f t="shared" si="17"/>
        <v>1.4315162037037008</v>
      </c>
      <c r="E143" s="92">
        <f>IF(H143=0,0,G143*('Atsipirkimo vertinimas'!$N$19)/12)</f>
        <v>0.40096064814814519</v>
      </c>
      <c r="F143" s="92">
        <f>($G$4/('Atsipirkimo vertinimas'!$N$18*12-'Atsipirkimo vertinimas'!$N$20)*H143)</f>
        <v>0.97222222222222221</v>
      </c>
      <c r="G143" s="92">
        <f t="shared" si="21"/>
        <v>98.194444444443718</v>
      </c>
      <c r="H143">
        <f>IF(C143-'Atsipirkimo vertinimas'!$N$20&lt;0,0,1)</f>
        <v>1</v>
      </c>
      <c r="I143" s="92"/>
      <c r="J143" s="92">
        <f t="shared" si="18"/>
        <v>0</v>
      </c>
      <c r="K143" s="92"/>
      <c r="L143" s="88"/>
      <c r="N143" s="88">
        <v>139</v>
      </c>
      <c r="O143" s="92">
        <f t="shared" si="19"/>
        <v>1.4910273929271436</v>
      </c>
      <c r="P143" s="92">
        <f>IF($Z$64&lt;S143+(S143*(('Atsipirkimo vertinimas'!$N$19)/12)),($Z$64*T143)+(Q143*U143),S143+(S143*(('Atsipirkimo vertinimas'!$N$19)/12)))</f>
        <v>1.4326940595938102</v>
      </c>
      <c r="Q143" s="92">
        <f>IF(T143=0,0,S143*('Atsipirkimo vertinimas'!$N$19)/12)</f>
        <v>0.48338446854493372</v>
      </c>
      <c r="R143" s="92">
        <f t="shared" si="22"/>
        <v>0.94930959104887647</v>
      </c>
      <c r="S143" s="92">
        <f t="shared" si="23"/>
        <v>118.37986984773886</v>
      </c>
      <c r="T143">
        <f>IF(N143-'Atsipirkimo vertinimas'!$N$20&lt;0,0,1)</f>
        <v>1</v>
      </c>
      <c r="U143">
        <f>IF(N143-'Atsipirkimo vertinimas'!$N$20&gt;=0,0,1)</f>
        <v>0</v>
      </c>
      <c r="V143" s="92"/>
      <c r="W143" s="92">
        <f t="shared" si="20"/>
        <v>0</v>
      </c>
      <c r="X143" s="88"/>
    </row>
    <row r="144" spans="3:24" x14ac:dyDescent="0.25">
      <c r="C144" s="88">
        <v>140</v>
      </c>
      <c r="D144" s="92">
        <f t="shared" si="17"/>
        <v>1.4275462962962933</v>
      </c>
      <c r="E144" s="92">
        <f>IF(H144=0,0,G144*('Atsipirkimo vertinimas'!$N$19)/12)</f>
        <v>0.39699074074073776</v>
      </c>
      <c r="F144" s="92">
        <f>($G$4/('Atsipirkimo vertinimas'!$N$18*12-'Atsipirkimo vertinimas'!$N$20)*H144)</f>
        <v>0.97222222222222221</v>
      </c>
      <c r="G144" s="92">
        <f t="shared" si="21"/>
        <v>97.22222222222149</v>
      </c>
      <c r="H144">
        <f>IF(C144-'Atsipirkimo vertinimas'!$N$20&lt;0,0,1)</f>
        <v>1</v>
      </c>
      <c r="I144" s="92"/>
      <c r="J144" s="92">
        <f t="shared" si="18"/>
        <v>0</v>
      </c>
      <c r="K144" s="92"/>
      <c r="L144" s="88"/>
      <c r="N144" s="88">
        <v>140</v>
      </c>
      <c r="O144" s="92">
        <f t="shared" si="19"/>
        <v>1.4910273929271436</v>
      </c>
      <c r="P144" s="92">
        <f>IF($Z$64&lt;S144+(S144*(('Atsipirkimo vertinimas'!$N$19)/12)),($Z$64*T144)+(Q144*U144),S144+(S144*(('Atsipirkimo vertinimas'!$N$19)/12)))</f>
        <v>1.4326940595938102</v>
      </c>
      <c r="Q144" s="92">
        <f>IF(T144=0,0,S144*('Atsipirkimo vertinimas'!$N$19)/12)</f>
        <v>0.47950812104815083</v>
      </c>
      <c r="R144" s="92">
        <f t="shared" si="22"/>
        <v>0.95318593854565936</v>
      </c>
      <c r="S144" s="92">
        <f t="shared" si="23"/>
        <v>117.43056025668999</v>
      </c>
      <c r="T144">
        <f>IF(N144-'Atsipirkimo vertinimas'!$N$20&lt;0,0,1)</f>
        <v>1</v>
      </c>
      <c r="U144">
        <f>IF(N144-'Atsipirkimo vertinimas'!$N$20&gt;=0,0,1)</f>
        <v>0</v>
      </c>
      <c r="V144" s="92"/>
      <c r="W144" s="92">
        <f t="shared" si="20"/>
        <v>0</v>
      </c>
      <c r="X144" s="88"/>
    </row>
    <row r="145" spans="3:24" x14ac:dyDescent="0.25">
      <c r="C145" s="88">
        <v>141</v>
      </c>
      <c r="D145" s="92">
        <f t="shared" si="17"/>
        <v>1.4235763888888859</v>
      </c>
      <c r="E145" s="92">
        <f>IF(H145=0,0,G145*('Atsipirkimo vertinimas'!$N$19)/12)</f>
        <v>0.39302083333333032</v>
      </c>
      <c r="F145" s="92">
        <f>($G$4/('Atsipirkimo vertinimas'!$N$18*12-'Atsipirkimo vertinimas'!$N$20)*H145)</f>
        <v>0.97222222222222221</v>
      </c>
      <c r="G145" s="92">
        <f t="shared" si="21"/>
        <v>96.249999999999261</v>
      </c>
      <c r="H145">
        <f>IF(C145-'Atsipirkimo vertinimas'!$N$20&lt;0,0,1)</f>
        <v>1</v>
      </c>
      <c r="I145" s="92"/>
      <c r="J145" s="92">
        <f t="shared" si="18"/>
        <v>0</v>
      </c>
      <c r="K145" s="92"/>
      <c r="L145" s="88"/>
      <c r="N145" s="88">
        <v>141</v>
      </c>
      <c r="O145" s="92">
        <f t="shared" si="19"/>
        <v>1.4910273929271436</v>
      </c>
      <c r="P145" s="92">
        <f>IF($Z$64&lt;S145+(S145*(('Atsipirkimo vertinimas'!$N$19)/12)),($Z$64*T145)+(Q145*U145),S145+(S145*(('Atsipirkimo vertinimas'!$N$19)/12)))</f>
        <v>1.4326940595938102</v>
      </c>
      <c r="Q145" s="92">
        <f>IF(T145=0,0,S145*('Atsipirkimo vertinimas'!$N$19)/12)</f>
        <v>0.47561594513242267</v>
      </c>
      <c r="R145" s="92">
        <f t="shared" si="22"/>
        <v>0.95707811446138757</v>
      </c>
      <c r="S145" s="92">
        <f t="shared" si="23"/>
        <v>116.47737431814433</v>
      </c>
      <c r="T145">
        <f>IF(N145-'Atsipirkimo vertinimas'!$N$20&lt;0,0,1)</f>
        <v>1</v>
      </c>
      <c r="U145">
        <f>IF(N145-'Atsipirkimo vertinimas'!$N$20&gt;=0,0,1)</f>
        <v>0</v>
      </c>
      <c r="V145" s="92"/>
      <c r="W145" s="92">
        <f t="shared" si="20"/>
        <v>0</v>
      </c>
      <c r="X145" s="88"/>
    </row>
    <row r="146" spans="3:24" x14ac:dyDescent="0.25">
      <c r="C146" s="88">
        <v>142</v>
      </c>
      <c r="D146" s="92">
        <f t="shared" si="17"/>
        <v>1.4196064814814784</v>
      </c>
      <c r="E146" s="92">
        <f>IF(H146=0,0,G146*('Atsipirkimo vertinimas'!$N$19)/12)</f>
        <v>0.38905092592592289</v>
      </c>
      <c r="F146" s="92">
        <f>($G$4/('Atsipirkimo vertinimas'!$N$18*12-'Atsipirkimo vertinimas'!$N$20)*H146)</f>
        <v>0.97222222222222221</v>
      </c>
      <c r="G146" s="92">
        <f t="shared" si="21"/>
        <v>95.277777777777032</v>
      </c>
      <c r="H146">
        <f>IF(C146-'Atsipirkimo vertinimas'!$N$20&lt;0,0,1)</f>
        <v>1</v>
      </c>
      <c r="I146" s="92"/>
      <c r="J146" s="92">
        <f t="shared" si="18"/>
        <v>0</v>
      </c>
      <c r="K146" s="92"/>
      <c r="L146" s="88"/>
      <c r="N146" s="88">
        <v>142</v>
      </c>
      <c r="O146" s="92">
        <f t="shared" si="19"/>
        <v>1.4910273929271436</v>
      </c>
      <c r="P146" s="92">
        <f>IF($Z$64&lt;S146+(S146*(('Atsipirkimo vertinimas'!$N$19)/12)),($Z$64*T146)+(Q146*U146),S146+(S146*(('Atsipirkimo vertinimas'!$N$19)/12)))</f>
        <v>1.4326940595938102</v>
      </c>
      <c r="Q146" s="92">
        <f>IF(T146=0,0,S146*('Atsipirkimo vertinimas'!$N$19)/12)</f>
        <v>0.47170787616503868</v>
      </c>
      <c r="R146" s="92">
        <f t="shared" si="22"/>
        <v>0.96098618342877162</v>
      </c>
      <c r="S146" s="92">
        <f t="shared" si="23"/>
        <v>115.52029620368295</v>
      </c>
      <c r="T146">
        <f>IF(N146-'Atsipirkimo vertinimas'!$N$20&lt;0,0,1)</f>
        <v>1</v>
      </c>
      <c r="U146">
        <f>IF(N146-'Atsipirkimo vertinimas'!$N$20&gt;=0,0,1)</f>
        <v>0</v>
      </c>
      <c r="V146" s="92"/>
      <c r="W146" s="92"/>
      <c r="X146" s="88"/>
    </row>
    <row r="147" spans="3:24" x14ac:dyDescent="0.25">
      <c r="C147" s="88">
        <v>143</v>
      </c>
      <c r="D147" s="92">
        <f t="shared" si="17"/>
        <v>1.4156365740740711</v>
      </c>
      <c r="E147" s="92">
        <f>IF(H147=0,0,G147*('Atsipirkimo vertinimas'!$N$19)/12)</f>
        <v>0.38508101851851545</v>
      </c>
      <c r="F147" s="92">
        <f>($G$4/('Atsipirkimo vertinimas'!$N$18*12-'Atsipirkimo vertinimas'!$N$20)*H147)</f>
        <v>0.97222222222222221</v>
      </c>
      <c r="G147" s="92">
        <f t="shared" si="21"/>
        <v>94.305555555554804</v>
      </c>
      <c r="H147">
        <f>IF(C147-'Atsipirkimo vertinimas'!$N$20&lt;0,0,1)</f>
        <v>1</v>
      </c>
      <c r="I147" s="92"/>
      <c r="J147" s="92">
        <f t="shared" si="18"/>
        <v>0</v>
      </c>
      <c r="K147" s="92"/>
      <c r="L147" s="91">
        <f>IF('Atsipirkimo vertinimas'!$N$18*12&gt;Grafikas!C147,SUM(D136:D147),0)</f>
        <v>17.249652777777747</v>
      </c>
      <c r="N147" s="88">
        <v>143</v>
      </c>
      <c r="O147" s="92">
        <f t="shared" si="19"/>
        <v>1.4910273929271436</v>
      </c>
      <c r="P147" s="92">
        <f>IF($Z$64&lt;S147+(S147*(('Atsipirkimo vertinimas'!$N$19)/12)),($Z$64*T147)+(Q147*U147),S147+(S147*(('Atsipirkimo vertinimas'!$N$19)/12)))</f>
        <v>1.4326940595938102</v>
      </c>
      <c r="Q147" s="92">
        <f>IF(T147=0,0,S147*('Atsipirkimo vertinimas'!$N$19)/12)</f>
        <v>0.46778384924937128</v>
      </c>
      <c r="R147" s="92">
        <f t="shared" si="22"/>
        <v>0.96491021034443891</v>
      </c>
      <c r="S147" s="92">
        <f t="shared" si="23"/>
        <v>114.55931002025417</v>
      </c>
      <c r="T147">
        <f>IF(N147-'Atsipirkimo vertinimas'!$N$20&lt;0,0,1)</f>
        <v>1</v>
      </c>
      <c r="U147">
        <f>IF(N147-'Atsipirkimo vertinimas'!$N$20&gt;=0,0,1)</f>
        <v>0</v>
      </c>
      <c r="V147" s="92"/>
      <c r="W147" s="92"/>
      <c r="X147" s="91">
        <f>IF('Atsipirkimo vertinimas'!$N$18*12&gt;Grafikas!C147,SUM(O136:O147),0)</f>
        <v>17.892328715125725</v>
      </c>
    </row>
    <row r="148" spans="3:24" x14ac:dyDescent="0.25">
      <c r="C148" s="88">
        <v>144</v>
      </c>
      <c r="D148" s="92">
        <f t="shared" si="17"/>
        <v>1.4116666666666635</v>
      </c>
      <c r="E148" s="92">
        <f>IF(H148=0,0,G148*('Atsipirkimo vertinimas'!$N$19)/12)</f>
        <v>0.38111111111110801</v>
      </c>
      <c r="F148" s="92">
        <f>($G$4/('Atsipirkimo vertinimas'!$N$18*12-'Atsipirkimo vertinimas'!$N$20)*H148)</f>
        <v>0.97222222222222221</v>
      </c>
      <c r="G148" s="92">
        <f t="shared" si="21"/>
        <v>93.333333333332575</v>
      </c>
      <c r="H148">
        <f>IF(C148-'Atsipirkimo vertinimas'!$N$20&lt;0,0,1)</f>
        <v>1</v>
      </c>
      <c r="I148" s="92"/>
      <c r="J148" s="92">
        <f t="shared" si="18"/>
        <v>0</v>
      </c>
      <c r="K148" s="92"/>
      <c r="L148" s="88"/>
      <c r="N148" s="88">
        <v>144</v>
      </c>
      <c r="O148" s="92">
        <f t="shared" si="19"/>
        <v>1.4910273929271436</v>
      </c>
      <c r="P148" s="92">
        <f>IF($Z$64&lt;S148+(S148*(('Atsipirkimo vertinimas'!$N$19)/12)),($Z$64*T148)+(Q148*U148),S148+(S148*(('Atsipirkimo vertinimas'!$N$19)/12)))</f>
        <v>1.4326940595938102</v>
      </c>
      <c r="Q148" s="92">
        <f>IF(T148=0,0,S148*('Atsipirkimo vertinimas'!$N$19)/12)</f>
        <v>0.46384379922379809</v>
      </c>
      <c r="R148" s="92">
        <f t="shared" si="22"/>
        <v>0.96885026037001221</v>
      </c>
      <c r="S148" s="92">
        <f t="shared" si="23"/>
        <v>113.59439980990973</v>
      </c>
      <c r="T148">
        <f>IF(N148-'Atsipirkimo vertinimas'!$N$20&lt;0,0,1)</f>
        <v>1</v>
      </c>
      <c r="U148">
        <f>IF(N148-'Atsipirkimo vertinimas'!$N$20&gt;=0,0,1)</f>
        <v>0</v>
      </c>
      <c r="V148" s="92"/>
      <c r="W148" s="92"/>
      <c r="X148" s="88"/>
    </row>
    <row r="149" spans="3:24" x14ac:dyDescent="0.25">
      <c r="C149" s="88">
        <v>145</v>
      </c>
      <c r="D149" s="92">
        <f t="shared" si="17"/>
        <v>1.4076967592592562</v>
      </c>
      <c r="E149" s="92">
        <f>IF(H149=0,0,G149*('Atsipirkimo vertinimas'!$N$19)/12)</f>
        <v>0.37714120370370058</v>
      </c>
      <c r="F149" s="92">
        <f>($G$4/('Atsipirkimo vertinimas'!$N$18*12-'Atsipirkimo vertinimas'!$N$20)*H149)</f>
        <v>0.97222222222222221</v>
      </c>
      <c r="G149" s="92">
        <f t="shared" si="21"/>
        <v>92.361111111110347</v>
      </c>
      <c r="H149">
        <f>IF(C149-'Atsipirkimo vertinimas'!$N$20&lt;0,0,1)</f>
        <v>1</v>
      </c>
      <c r="I149" s="92"/>
      <c r="J149" s="92">
        <f t="shared" si="18"/>
        <v>0</v>
      </c>
      <c r="K149" s="92"/>
      <c r="L149" s="88"/>
      <c r="N149" s="88">
        <v>145</v>
      </c>
      <c r="O149" s="92">
        <f t="shared" si="19"/>
        <v>1.4910273929271436</v>
      </c>
      <c r="P149" s="92">
        <f>IF($Z$64&lt;S149+(S149*(('Atsipirkimo vertinimas'!$N$19)/12)),($Z$64*T149)+(Q149*U149),S149+(S149*(('Atsipirkimo vertinimas'!$N$19)/12)))</f>
        <v>1.4326940595938102</v>
      </c>
      <c r="Q149" s="92">
        <f>IF(T149=0,0,S149*('Atsipirkimo vertinimas'!$N$19)/12)</f>
        <v>0.45988766066062053</v>
      </c>
      <c r="R149" s="92">
        <f t="shared" si="22"/>
        <v>0.97280639893318965</v>
      </c>
      <c r="S149" s="92">
        <f t="shared" si="23"/>
        <v>112.62554954953971</v>
      </c>
      <c r="T149">
        <f>IF(N149-'Atsipirkimo vertinimas'!$N$20&lt;0,0,1)</f>
        <v>1</v>
      </c>
      <c r="U149">
        <f>IF(N149-'Atsipirkimo vertinimas'!$N$20&gt;=0,0,1)</f>
        <v>0</v>
      </c>
      <c r="V149" s="92"/>
      <c r="W149" s="92"/>
      <c r="X149" s="88"/>
    </row>
    <row r="150" spans="3:24" x14ac:dyDescent="0.25">
      <c r="C150" s="88">
        <v>146</v>
      </c>
      <c r="D150" s="92">
        <f t="shared" si="17"/>
        <v>1.4037268518518486</v>
      </c>
      <c r="E150" s="92">
        <f>IF(H150=0,0,G150*('Atsipirkimo vertinimas'!$N$19)/12)</f>
        <v>0.3731712962962932</v>
      </c>
      <c r="F150" s="92">
        <f>($G$4/('Atsipirkimo vertinimas'!$N$18*12-'Atsipirkimo vertinimas'!$N$20)*H150)</f>
        <v>0.97222222222222221</v>
      </c>
      <c r="G150" s="92">
        <f t="shared" si="21"/>
        <v>91.388888888888118</v>
      </c>
      <c r="H150">
        <f>IF(C150-'Atsipirkimo vertinimas'!$N$20&lt;0,0,1)</f>
        <v>1</v>
      </c>
      <c r="I150" s="92"/>
      <c r="J150" s="92">
        <f t="shared" si="18"/>
        <v>0</v>
      </c>
      <c r="K150" s="92"/>
      <c r="L150" s="88"/>
      <c r="N150" s="88">
        <v>146</v>
      </c>
      <c r="O150" s="92">
        <f t="shared" si="19"/>
        <v>1.4910273929271436</v>
      </c>
      <c r="P150" s="92">
        <f>IF($Z$64&lt;S150+(S150*(('Atsipirkimo vertinimas'!$N$19)/12)),($Z$64*T150)+(Q150*U150),S150+(S150*(('Atsipirkimo vertinimas'!$N$19)/12)))</f>
        <v>1.4326940595938102</v>
      </c>
      <c r="Q150" s="92">
        <f>IF(T150=0,0,S150*('Atsipirkimo vertinimas'!$N$19)/12)</f>
        <v>0.45591536786497672</v>
      </c>
      <c r="R150" s="92">
        <f t="shared" si="22"/>
        <v>0.97677869172883347</v>
      </c>
      <c r="S150" s="92">
        <f t="shared" si="23"/>
        <v>111.65274315060653</v>
      </c>
      <c r="T150">
        <f>IF(N150-'Atsipirkimo vertinimas'!$N$20&lt;0,0,1)</f>
        <v>1</v>
      </c>
      <c r="U150">
        <f>IF(N150-'Atsipirkimo vertinimas'!$N$20&gt;=0,0,1)</f>
        <v>0</v>
      </c>
      <c r="V150" s="92"/>
      <c r="W150" s="92"/>
      <c r="X150" s="88"/>
    </row>
    <row r="151" spans="3:24" x14ac:dyDescent="0.25">
      <c r="C151" s="88">
        <v>147</v>
      </c>
      <c r="D151" s="92">
        <f t="shared" si="17"/>
        <v>1.3997569444444413</v>
      </c>
      <c r="E151" s="92">
        <f>IF(H151=0,0,G151*('Atsipirkimo vertinimas'!$N$19)/12)</f>
        <v>0.36920138888888571</v>
      </c>
      <c r="F151" s="92">
        <f>($G$4/('Atsipirkimo vertinimas'!$N$18*12-'Atsipirkimo vertinimas'!$N$20)*H151)</f>
        <v>0.97222222222222221</v>
      </c>
      <c r="G151" s="92">
        <f t="shared" si="21"/>
        <v>90.41666666666589</v>
      </c>
      <c r="H151">
        <f>IF(C151-'Atsipirkimo vertinimas'!$N$20&lt;0,0,1)</f>
        <v>1</v>
      </c>
      <c r="I151" s="92"/>
      <c r="J151" s="92">
        <f t="shared" si="18"/>
        <v>0</v>
      </c>
      <c r="K151" s="92"/>
      <c r="L151" s="88"/>
      <c r="N151" s="88">
        <v>147</v>
      </c>
      <c r="O151" s="92">
        <f t="shared" si="19"/>
        <v>1.4910273929271436</v>
      </c>
      <c r="P151" s="92">
        <f>IF($Z$64&lt;S151+(S151*(('Atsipirkimo vertinimas'!$N$19)/12)),($Z$64*T151)+(Q151*U151),S151+(S151*(('Atsipirkimo vertinimas'!$N$19)/12)))</f>
        <v>1.4326940595938102</v>
      </c>
      <c r="Q151" s="92">
        <f>IF(T151=0,0,S151*('Atsipirkimo vertinimas'!$N$19)/12)</f>
        <v>0.45192685487375056</v>
      </c>
      <c r="R151" s="92">
        <f t="shared" si="22"/>
        <v>0.98076720472005974</v>
      </c>
      <c r="S151" s="92">
        <f t="shared" si="23"/>
        <v>110.67596445887769</v>
      </c>
      <c r="T151">
        <f>IF(N151-'Atsipirkimo vertinimas'!$N$20&lt;0,0,1)</f>
        <v>1</v>
      </c>
      <c r="U151">
        <f>IF(N151-'Atsipirkimo vertinimas'!$N$20&gt;=0,0,1)</f>
        <v>0</v>
      </c>
      <c r="V151" s="92"/>
      <c r="W151" s="92"/>
      <c r="X151" s="88"/>
    </row>
    <row r="152" spans="3:24" x14ac:dyDescent="0.25">
      <c r="C152" s="88">
        <v>148</v>
      </c>
      <c r="D152" s="92">
        <f t="shared" si="17"/>
        <v>1.395787037037034</v>
      </c>
      <c r="E152" s="92">
        <f>IF(H152=0,0,G152*('Atsipirkimo vertinimas'!$N$19)/12)</f>
        <v>0.36523148148147833</v>
      </c>
      <c r="F152" s="92">
        <f>($G$4/('Atsipirkimo vertinimas'!$N$18*12-'Atsipirkimo vertinimas'!$N$20)*H152)</f>
        <v>0.97222222222222221</v>
      </c>
      <c r="G152" s="92">
        <f t="shared" si="21"/>
        <v>89.444444444443661</v>
      </c>
      <c r="H152">
        <f>IF(C152-'Atsipirkimo vertinimas'!$N$20&lt;0,0,1)</f>
        <v>1</v>
      </c>
      <c r="I152" s="92"/>
      <c r="J152" s="92">
        <f t="shared" si="18"/>
        <v>0</v>
      </c>
      <c r="K152" s="92"/>
      <c r="L152" s="88"/>
      <c r="N152" s="88">
        <v>148</v>
      </c>
      <c r="O152" s="92">
        <f t="shared" si="19"/>
        <v>1.4910273929271436</v>
      </c>
      <c r="P152" s="92">
        <f>IF($Z$64&lt;S152+(S152*(('Atsipirkimo vertinimas'!$N$19)/12)),($Z$64*T152)+(Q152*U152),S152+(S152*(('Atsipirkimo vertinimas'!$N$19)/12)))</f>
        <v>1.4326940595938102</v>
      </c>
      <c r="Q152" s="92">
        <f>IF(T152=0,0,S152*('Atsipirkimo vertinimas'!$N$19)/12)</f>
        <v>0.44792205545447694</v>
      </c>
      <c r="R152" s="92">
        <f t="shared" si="22"/>
        <v>0.9847720041393333</v>
      </c>
      <c r="S152" s="92">
        <f t="shared" si="23"/>
        <v>109.69519725415762</v>
      </c>
      <c r="T152">
        <f>IF(N152-'Atsipirkimo vertinimas'!$N$20&lt;0,0,1)</f>
        <v>1</v>
      </c>
      <c r="U152">
        <f>IF(N152-'Atsipirkimo vertinimas'!$N$20&gt;=0,0,1)</f>
        <v>0</v>
      </c>
      <c r="V152" s="92"/>
      <c r="W152" s="92"/>
      <c r="X152" s="88"/>
    </row>
    <row r="153" spans="3:24" x14ac:dyDescent="0.25">
      <c r="C153" s="88">
        <v>149</v>
      </c>
      <c r="D153" s="92">
        <f t="shared" si="17"/>
        <v>1.3918171296296264</v>
      </c>
      <c r="E153" s="92">
        <f>IF(H153=0,0,G153*('Atsipirkimo vertinimas'!$N$19)/12)</f>
        <v>0.36126157407407083</v>
      </c>
      <c r="F153" s="92">
        <f>($G$4/('Atsipirkimo vertinimas'!$N$18*12-'Atsipirkimo vertinimas'!$N$20)*H153)</f>
        <v>0.97222222222222221</v>
      </c>
      <c r="G153" s="92">
        <f t="shared" si="21"/>
        <v>88.472222222221433</v>
      </c>
      <c r="H153">
        <f>IF(C153-'Atsipirkimo vertinimas'!$N$20&lt;0,0,1)</f>
        <v>1</v>
      </c>
      <c r="I153" s="92"/>
      <c r="J153" s="92">
        <f t="shared" si="18"/>
        <v>0</v>
      </c>
      <c r="K153" s="92"/>
      <c r="L153" s="88"/>
      <c r="N153" s="88">
        <v>149</v>
      </c>
      <c r="O153" s="92">
        <f t="shared" si="19"/>
        <v>1.4910273929271436</v>
      </c>
      <c r="P153" s="92">
        <f>IF($Z$64&lt;S153+(S153*(('Atsipirkimo vertinimas'!$N$19)/12)),($Z$64*T153)+(Q153*U153),S153+(S153*(('Atsipirkimo vertinimas'!$N$19)/12)))</f>
        <v>1.4326940595938102</v>
      </c>
      <c r="Q153" s="92">
        <f>IF(T153=0,0,S153*('Atsipirkimo vertinimas'!$N$19)/12)</f>
        <v>0.44390090310424135</v>
      </c>
      <c r="R153" s="92">
        <f t="shared" si="22"/>
        <v>0.98879315648956889</v>
      </c>
      <c r="S153" s="92">
        <f t="shared" si="23"/>
        <v>108.71042525001829</v>
      </c>
      <c r="T153">
        <f>IF(N153-'Atsipirkimo vertinimas'!$N$20&lt;0,0,1)</f>
        <v>1</v>
      </c>
      <c r="U153">
        <f>IF(N153-'Atsipirkimo vertinimas'!$N$20&gt;=0,0,1)</f>
        <v>0</v>
      </c>
      <c r="V153" s="92"/>
      <c r="W153" s="92"/>
      <c r="X153" s="88"/>
    </row>
    <row r="154" spans="3:24" x14ac:dyDescent="0.25">
      <c r="C154" s="88">
        <v>150</v>
      </c>
      <c r="D154" s="92">
        <f t="shared" si="17"/>
        <v>1.3878472222222189</v>
      </c>
      <c r="E154" s="92">
        <f>IF(H154=0,0,G154*('Atsipirkimo vertinimas'!$N$19)/12)</f>
        <v>0.35729166666666345</v>
      </c>
      <c r="F154" s="92">
        <f>($G$4/('Atsipirkimo vertinimas'!$N$18*12-'Atsipirkimo vertinimas'!$N$20)*H154)</f>
        <v>0.97222222222222221</v>
      </c>
      <c r="G154" s="92">
        <f t="shared" si="21"/>
        <v>87.499999999999204</v>
      </c>
      <c r="H154">
        <f>IF(C154-'Atsipirkimo vertinimas'!$N$20&lt;0,0,1)</f>
        <v>1</v>
      </c>
      <c r="I154" s="92"/>
      <c r="J154" s="92">
        <f t="shared" si="18"/>
        <v>0</v>
      </c>
      <c r="K154" s="92"/>
      <c r="L154" s="88"/>
      <c r="N154" s="88">
        <v>150</v>
      </c>
      <c r="O154" s="92">
        <f t="shared" si="19"/>
        <v>1.4910273929271436</v>
      </c>
      <c r="P154" s="92">
        <f>IF($Z$64&lt;S154+(S154*(('Atsipirkimo vertinimas'!$N$19)/12)),($Z$64*T154)+(Q154*U154),S154+(S154*(('Atsipirkimo vertinimas'!$N$19)/12)))</f>
        <v>1.4326940595938102</v>
      </c>
      <c r="Q154" s="92">
        <f>IF(T154=0,0,S154*('Atsipirkimo vertinimas'!$N$19)/12)</f>
        <v>0.43986333104857561</v>
      </c>
      <c r="R154" s="92">
        <f t="shared" si="22"/>
        <v>0.99283072854523469</v>
      </c>
      <c r="S154" s="92">
        <f t="shared" si="23"/>
        <v>107.72163209352873</v>
      </c>
      <c r="T154">
        <f>IF(N154-'Atsipirkimo vertinimas'!$N$20&lt;0,0,1)</f>
        <v>1</v>
      </c>
      <c r="U154">
        <f>IF(N154-'Atsipirkimo vertinimas'!$N$20&gt;=0,0,1)</f>
        <v>0</v>
      </c>
      <c r="V154" s="92"/>
      <c r="W154" s="92"/>
      <c r="X154" s="88"/>
    </row>
    <row r="155" spans="3:24" x14ac:dyDescent="0.25">
      <c r="C155" s="88">
        <v>151</v>
      </c>
      <c r="D155" s="92">
        <f t="shared" si="17"/>
        <v>1.3838773148148116</v>
      </c>
      <c r="E155" s="92">
        <f>IF(H155=0,0,G155*('Atsipirkimo vertinimas'!$N$19)/12)</f>
        <v>0.35332175925925596</v>
      </c>
      <c r="F155" s="92">
        <f>($G$4/('Atsipirkimo vertinimas'!$N$18*12-'Atsipirkimo vertinimas'!$N$20)*H155)</f>
        <v>0.97222222222222221</v>
      </c>
      <c r="G155" s="92">
        <f t="shared" si="21"/>
        <v>86.527777777776976</v>
      </c>
      <c r="H155">
        <f>IF(C155-'Atsipirkimo vertinimas'!$N$20&lt;0,0,1)</f>
        <v>1</v>
      </c>
      <c r="I155" s="92"/>
      <c r="J155" s="92">
        <f t="shared" si="18"/>
        <v>0</v>
      </c>
      <c r="K155" s="92"/>
      <c r="L155" s="88"/>
      <c r="N155" s="88">
        <v>151</v>
      </c>
      <c r="O155" s="92">
        <f t="shared" si="19"/>
        <v>1.4910273929271436</v>
      </c>
      <c r="P155" s="92">
        <f>IF($Z$64&lt;S155+(S155*(('Atsipirkimo vertinimas'!$N$19)/12)),($Z$64*T155)+(Q155*U155),S155+(S155*(('Atsipirkimo vertinimas'!$N$19)/12)))</f>
        <v>1.4326940595938102</v>
      </c>
      <c r="Q155" s="92">
        <f>IF(T155=0,0,S155*('Atsipirkimo vertinimas'!$N$19)/12)</f>
        <v>0.43580927224034927</v>
      </c>
      <c r="R155" s="92">
        <f t="shared" si="22"/>
        <v>0.99688478735346098</v>
      </c>
      <c r="S155" s="92">
        <f t="shared" si="23"/>
        <v>106.7288013649835</v>
      </c>
      <c r="T155">
        <f>IF(N155-'Atsipirkimo vertinimas'!$N$20&lt;0,0,1)</f>
        <v>1</v>
      </c>
      <c r="U155">
        <f>IF(N155-'Atsipirkimo vertinimas'!$N$20&gt;=0,0,1)</f>
        <v>0</v>
      </c>
      <c r="V155" s="92"/>
      <c r="W155" s="92"/>
      <c r="X155" s="88"/>
    </row>
    <row r="156" spans="3:24" x14ac:dyDescent="0.25">
      <c r="C156" s="88">
        <v>152</v>
      </c>
      <c r="D156" s="92">
        <f t="shared" si="17"/>
        <v>1.3799074074074043</v>
      </c>
      <c r="E156" s="92">
        <f>IF(H156=0,0,G156*('Atsipirkimo vertinimas'!$N$19)/12)</f>
        <v>0.34935185185184858</v>
      </c>
      <c r="F156" s="92">
        <f>($G$4/('Atsipirkimo vertinimas'!$N$18*12-'Atsipirkimo vertinimas'!$N$20)*H156)</f>
        <v>0.97222222222222221</v>
      </c>
      <c r="G156" s="92">
        <f t="shared" si="21"/>
        <v>85.555555555554747</v>
      </c>
      <c r="H156">
        <f>IF(C156-'Atsipirkimo vertinimas'!$N$20&lt;0,0,1)</f>
        <v>1</v>
      </c>
      <c r="I156" s="92"/>
      <c r="J156" s="92">
        <f t="shared" si="18"/>
        <v>0</v>
      </c>
      <c r="K156" s="92"/>
      <c r="L156" s="88"/>
      <c r="N156" s="88">
        <v>152</v>
      </c>
      <c r="O156" s="92">
        <f t="shared" si="19"/>
        <v>1.4910273929271436</v>
      </c>
      <c r="P156" s="92">
        <f>IF($Z$64&lt;S156+(S156*(('Atsipirkimo vertinimas'!$N$19)/12)),($Z$64*T156)+(Q156*U156),S156+(S156*(('Atsipirkimo vertinimas'!$N$19)/12)))</f>
        <v>1.4326940595938102</v>
      </c>
      <c r="Q156" s="92">
        <f>IF(T156=0,0,S156*('Atsipirkimo vertinimas'!$N$19)/12)</f>
        <v>0.43173865935865602</v>
      </c>
      <c r="R156" s="92">
        <f t="shared" si="22"/>
        <v>1.0009554002351542</v>
      </c>
      <c r="S156" s="92">
        <f t="shared" si="23"/>
        <v>105.73191657763003</v>
      </c>
      <c r="T156">
        <f>IF(N156-'Atsipirkimo vertinimas'!$N$20&lt;0,0,1)</f>
        <v>1</v>
      </c>
      <c r="U156">
        <f>IF(N156-'Atsipirkimo vertinimas'!$N$20&gt;=0,0,1)</f>
        <v>0</v>
      </c>
      <c r="V156" s="92"/>
      <c r="W156" s="92"/>
      <c r="X156" s="88"/>
    </row>
    <row r="157" spans="3:24" x14ac:dyDescent="0.25">
      <c r="C157" s="88">
        <v>153</v>
      </c>
      <c r="D157" s="92">
        <f t="shared" si="17"/>
        <v>1.3759374999999967</v>
      </c>
      <c r="E157" s="92">
        <f>IF(H157=0,0,G157*('Atsipirkimo vertinimas'!$N$19)/12)</f>
        <v>0.34538194444444109</v>
      </c>
      <c r="F157" s="92">
        <f>($G$4/('Atsipirkimo vertinimas'!$N$18*12-'Atsipirkimo vertinimas'!$N$20)*H157)</f>
        <v>0.97222222222222221</v>
      </c>
      <c r="G157" s="92">
        <f t="shared" si="21"/>
        <v>84.583333333332519</v>
      </c>
      <c r="H157">
        <f>IF(C157-'Atsipirkimo vertinimas'!$N$20&lt;0,0,1)</f>
        <v>1</v>
      </c>
      <c r="I157" s="92"/>
      <c r="J157" s="92">
        <f t="shared" si="18"/>
        <v>0</v>
      </c>
      <c r="K157" s="92"/>
      <c r="L157" s="88"/>
      <c r="N157" s="88">
        <v>153</v>
      </c>
      <c r="O157" s="92">
        <f t="shared" si="19"/>
        <v>1.4910273929271436</v>
      </c>
      <c r="P157" s="92">
        <f>IF($Z$64&lt;S157+(S157*(('Atsipirkimo vertinimas'!$N$19)/12)),($Z$64*T157)+(Q157*U157),S157+(S157*(('Atsipirkimo vertinimas'!$N$19)/12)))</f>
        <v>1.4326940595938102</v>
      </c>
      <c r="Q157" s="92">
        <f>IF(T157=0,0,S157*('Atsipirkimo vertinimas'!$N$19)/12)</f>
        <v>0.42765142480769575</v>
      </c>
      <c r="R157" s="92">
        <f t="shared" si="22"/>
        <v>1.0050426347861146</v>
      </c>
      <c r="S157" s="92">
        <f t="shared" si="23"/>
        <v>104.73096117739487</v>
      </c>
      <c r="T157">
        <f>IF(N157-'Atsipirkimo vertinimas'!$N$20&lt;0,0,1)</f>
        <v>1</v>
      </c>
      <c r="U157">
        <f>IF(N157-'Atsipirkimo vertinimas'!$N$20&gt;=0,0,1)</f>
        <v>0</v>
      </c>
      <c r="V157" s="92"/>
      <c r="W157" s="92"/>
      <c r="X157" s="88"/>
    </row>
    <row r="158" spans="3:24" x14ac:dyDescent="0.25">
      <c r="C158" s="88">
        <v>154</v>
      </c>
      <c r="D158" s="92">
        <f t="shared" si="17"/>
        <v>1.3719675925925892</v>
      </c>
      <c r="E158" s="92">
        <f>IF(H158=0,0,G158*('Atsipirkimo vertinimas'!$N$19)/12)</f>
        <v>0.34141203703703371</v>
      </c>
      <c r="F158" s="92">
        <f>($G$4/('Atsipirkimo vertinimas'!$N$18*12-'Atsipirkimo vertinimas'!$N$20)*H158)</f>
        <v>0.97222222222222221</v>
      </c>
      <c r="G158" s="92">
        <f t="shared" si="21"/>
        <v>83.61111111111029</v>
      </c>
      <c r="H158">
        <f>IF(C158-'Atsipirkimo vertinimas'!$N$20&lt;0,0,1)</f>
        <v>1</v>
      </c>
      <c r="I158" s="92"/>
      <c r="J158" s="92">
        <f t="shared" si="18"/>
        <v>0</v>
      </c>
      <c r="K158" s="92"/>
      <c r="L158" s="88"/>
      <c r="N158" s="88">
        <v>154</v>
      </c>
      <c r="O158" s="92">
        <f t="shared" si="19"/>
        <v>1.4910273929271436</v>
      </c>
      <c r="P158" s="92">
        <f>IF($Z$64&lt;S158+(S158*(('Atsipirkimo vertinimas'!$N$19)/12)),($Z$64*T158)+(Q158*U158),S158+(S158*(('Atsipirkimo vertinimas'!$N$19)/12)))</f>
        <v>1.4326940595938102</v>
      </c>
      <c r="Q158" s="92">
        <f>IF(T158=0,0,S158*('Atsipirkimo vertinimas'!$N$19)/12)</f>
        <v>0.42354750071565245</v>
      </c>
      <c r="R158" s="92">
        <f t="shared" si="22"/>
        <v>1.0091465588781579</v>
      </c>
      <c r="S158" s="92">
        <f t="shared" si="23"/>
        <v>103.72591854260877</v>
      </c>
      <c r="T158">
        <f>IF(N158-'Atsipirkimo vertinimas'!$N$20&lt;0,0,1)</f>
        <v>1</v>
      </c>
      <c r="U158">
        <f>IF(N158-'Atsipirkimo vertinimas'!$N$20&gt;=0,0,1)</f>
        <v>0</v>
      </c>
      <c r="V158" s="92"/>
      <c r="W158" s="92"/>
      <c r="X158" s="88"/>
    </row>
    <row r="159" spans="3:24" x14ac:dyDescent="0.25">
      <c r="C159" s="88">
        <v>155</v>
      </c>
      <c r="D159" s="92">
        <f t="shared" si="17"/>
        <v>1.3679976851851818</v>
      </c>
      <c r="E159" s="92">
        <f>IF(H159=0,0,G159*('Atsipirkimo vertinimas'!$N$19)/12)</f>
        <v>0.33744212962962622</v>
      </c>
      <c r="F159" s="92">
        <f>($G$4/('Atsipirkimo vertinimas'!$N$18*12-'Atsipirkimo vertinimas'!$N$20)*H159)</f>
        <v>0.97222222222222221</v>
      </c>
      <c r="G159" s="92">
        <f t="shared" si="21"/>
        <v>82.638888888888062</v>
      </c>
      <c r="H159">
        <f>IF(C159-'Atsipirkimo vertinimas'!$N$20&lt;0,0,1)</f>
        <v>1</v>
      </c>
      <c r="I159" s="92"/>
      <c r="J159" s="92">
        <f t="shared" si="18"/>
        <v>0</v>
      </c>
      <c r="K159" s="92"/>
      <c r="L159" s="91">
        <f>IF('Atsipirkimo vertinimas'!$N$18*12&gt;Grafikas!C159,SUM(D148:D159),0)</f>
        <v>16.677986111111075</v>
      </c>
      <c r="N159" s="88">
        <v>155</v>
      </c>
      <c r="O159" s="92">
        <f t="shared" si="19"/>
        <v>1.4910273929271436</v>
      </c>
      <c r="P159" s="92">
        <f>IF($Z$64&lt;S159+(S159*(('Atsipirkimo vertinimas'!$N$19)/12)),($Z$64*T159)+(Q159*U159),S159+(S159*(('Atsipirkimo vertinimas'!$N$19)/12)))</f>
        <v>1.4326940595938102</v>
      </c>
      <c r="Q159" s="92">
        <f>IF(T159=0,0,S159*('Atsipirkimo vertinimas'!$N$19)/12)</f>
        <v>0.41942681893356665</v>
      </c>
      <c r="R159" s="92">
        <f t="shared" si="22"/>
        <v>1.0132672406602437</v>
      </c>
      <c r="S159" s="92">
        <f t="shared" si="23"/>
        <v>102.71677198373061</v>
      </c>
      <c r="T159">
        <f>IF(N159-'Atsipirkimo vertinimas'!$N$20&lt;0,0,1)</f>
        <v>1</v>
      </c>
      <c r="U159">
        <f>IF(N159-'Atsipirkimo vertinimas'!$N$20&gt;=0,0,1)</f>
        <v>0</v>
      </c>
      <c r="V159" s="92"/>
      <c r="W159" s="92"/>
      <c r="X159" s="91">
        <f>IF('Atsipirkimo vertinimas'!$N$18*12&gt;Grafikas!C159,SUM(O148:O159),0)</f>
        <v>17.892328715125725</v>
      </c>
    </row>
    <row r="160" spans="3:24" x14ac:dyDescent="0.25">
      <c r="C160" s="88">
        <v>156</v>
      </c>
      <c r="D160" s="92">
        <f t="shared" si="17"/>
        <v>1.3640277777777745</v>
      </c>
      <c r="E160" s="92">
        <f>IF(H160=0,0,G160*('Atsipirkimo vertinimas'!$N$19)/12)</f>
        <v>0.33347222222221884</v>
      </c>
      <c r="F160" s="92">
        <f>($G$4/('Atsipirkimo vertinimas'!$N$18*12-'Atsipirkimo vertinimas'!$N$20)*H160)</f>
        <v>0.97222222222222221</v>
      </c>
      <c r="G160" s="92">
        <f t="shared" si="21"/>
        <v>81.666666666665833</v>
      </c>
      <c r="H160">
        <f>IF(C160-'Atsipirkimo vertinimas'!$N$20&lt;0,0,1)</f>
        <v>1</v>
      </c>
      <c r="I160" s="92"/>
      <c r="J160" s="92">
        <f t="shared" si="18"/>
        <v>0</v>
      </c>
      <c r="K160" s="92"/>
      <c r="L160" s="88"/>
      <c r="N160" s="88">
        <v>156</v>
      </c>
      <c r="O160" s="92">
        <f t="shared" si="19"/>
        <v>1.4910273929271436</v>
      </c>
      <c r="P160" s="92">
        <f>IF($Z$64&lt;S160+(S160*(('Atsipirkimo vertinimas'!$N$19)/12)),($Z$64*T160)+(Q160*U160),S160+(S160*(('Atsipirkimo vertinimas'!$N$19)/12)))</f>
        <v>1.4326940595938102</v>
      </c>
      <c r="Q160" s="92">
        <f>IF(T160=0,0,S160*('Atsipirkimo vertinimas'!$N$19)/12)</f>
        <v>0.41528931103420402</v>
      </c>
      <c r="R160" s="92">
        <f t="shared" si="22"/>
        <v>1.0174047485596063</v>
      </c>
      <c r="S160" s="92">
        <f t="shared" si="23"/>
        <v>101.70350474307037</v>
      </c>
      <c r="T160">
        <f>IF(N160-'Atsipirkimo vertinimas'!$N$20&lt;0,0,1)</f>
        <v>1</v>
      </c>
      <c r="U160">
        <f>IF(N160-'Atsipirkimo vertinimas'!$N$20&gt;=0,0,1)</f>
        <v>0</v>
      </c>
      <c r="V160" s="92"/>
      <c r="W160" s="92"/>
      <c r="X160" s="88"/>
    </row>
    <row r="161" spans="3:24" x14ac:dyDescent="0.25">
      <c r="C161" s="88">
        <v>157</v>
      </c>
      <c r="D161" s="92">
        <f t="shared" si="17"/>
        <v>1.360057870370367</v>
      </c>
      <c r="E161" s="92">
        <f>IF(H161=0,0,G161*('Atsipirkimo vertinimas'!$N$19)/12)</f>
        <v>0.3295023148148114</v>
      </c>
      <c r="F161" s="92">
        <f>($G$4/('Atsipirkimo vertinimas'!$N$18*12-'Atsipirkimo vertinimas'!$N$20)*H161)</f>
        <v>0.97222222222222221</v>
      </c>
      <c r="G161" s="92">
        <f t="shared" si="21"/>
        <v>80.694444444443604</v>
      </c>
      <c r="H161">
        <f>IF(C161-'Atsipirkimo vertinimas'!$N$20&lt;0,0,1)</f>
        <v>1</v>
      </c>
      <c r="I161" s="92"/>
      <c r="J161" s="92">
        <f t="shared" si="18"/>
        <v>0</v>
      </c>
      <c r="K161" s="92"/>
      <c r="L161" s="88"/>
      <c r="N161" s="88">
        <v>157</v>
      </c>
      <c r="O161" s="92">
        <f t="shared" si="19"/>
        <v>1.4910273929271436</v>
      </c>
      <c r="P161" s="92">
        <f>IF($Z$64&lt;S161+(S161*(('Atsipirkimo vertinimas'!$N$19)/12)),($Z$64*T161)+(Q161*U161),S161+(S161*(('Atsipirkimo vertinimas'!$N$19)/12)))</f>
        <v>1.4326940595938102</v>
      </c>
      <c r="Q161" s="92">
        <f>IF(T161=0,0,S161*('Atsipirkimo vertinimas'!$N$19)/12)</f>
        <v>0.41113490831091898</v>
      </c>
      <c r="R161" s="92">
        <f t="shared" si="22"/>
        <v>1.0215591512828912</v>
      </c>
      <c r="S161" s="92">
        <f t="shared" si="23"/>
        <v>100.68609999451076</v>
      </c>
      <c r="T161">
        <f>IF(N161-'Atsipirkimo vertinimas'!$N$20&lt;0,0,1)</f>
        <v>1</v>
      </c>
      <c r="U161">
        <f>IF(N161-'Atsipirkimo vertinimas'!$N$20&gt;=0,0,1)</f>
        <v>0</v>
      </c>
      <c r="V161" s="92"/>
      <c r="W161" s="92"/>
      <c r="X161" s="88"/>
    </row>
    <row r="162" spans="3:24" x14ac:dyDescent="0.25">
      <c r="C162" s="88">
        <v>158</v>
      </c>
      <c r="D162" s="92">
        <f t="shared" si="17"/>
        <v>1.3560879629629594</v>
      </c>
      <c r="E162" s="92">
        <f>IF(H162=0,0,G162*('Atsipirkimo vertinimas'!$N$19)/12)</f>
        <v>0.32553240740740397</v>
      </c>
      <c r="F162" s="92">
        <f>($G$4/('Atsipirkimo vertinimas'!$N$18*12-'Atsipirkimo vertinimas'!$N$20)*H162)</f>
        <v>0.97222222222222221</v>
      </c>
      <c r="G162" s="92">
        <f t="shared" si="21"/>
        <v>79.722222222221376</v>
      </c>
      <c r="H162">
        <f>IF(C162-'Atsipirkimo vertinimas'!$N$20&lt;0,0,1)</f>
        <v>1</v>
      </c>
      <c r="I162" s="92"/>
      <c r="J162" s="92">
        <f t="shared" si="18"/>
        <v>0</v>
      </c>
      <c r="K162" s="92"/>
      <c r="L162" s="88"/>
      <c r="N162" s="88">
        <v>158</v>
      </c>
      <c r="O162" s="92">
        <f t="shared" si="19"/>
        <v>1.4910273929271436</v>
      </c>
      <c r="P162" s="92">
        <f>IF($Z$64&lt;S162+(S162*(('Atsipirkimo vertinimas'!$N$19)/12)),($Z$64*T162)+(Q162*U162),S162+(S162*(('Atsipirkimo vertinimas'!$N$19)/12)))</f>
        <v>1.4326940595938102</v>
      </c>
      <c r="Q162" s="92">
        <f>IF(T162=0,0,S162*('Atsipirkimo vertinimas'!$N$19)/12)</f>
        <v>0.40696354177651384</v>
      </c>
      <c r="R162" s="92">
        <f t="shared" si="22"/>
        <v>1.0257305178172964</v>
      </c>
      <c r="S162" s="92">
        <f t="shared" si="23"/>
        <v>99.664540843227869</v>
      </c>
      <c r="T162">
        <f>IF(N162-'Atsipirkimo vertinimas'!$N$20&lt;0,0,1)</f>
        <v>1</v>
      </c>
      <c r="U162">
        <f>IF(N162-'Atsipirkimo vertinimas'!$N$20&gt;=0,0,1)</f>
        <v>0</v>
      </c>
      <c r="V162" s="92"/>
      <c r="W162" s="92"/>
      <c r="X162" s="88"/>
    </row>
    <row r="163" spans="3:24" x14ac:dyDescent="0.25">
      <c r="C163" s="88">
        <v>159</v>
      </c>
      <c r="D163" s="92">
        <f t="shared" si="17"/>
        <v>1.3521180555555521</v>
      </c>
      <c r="E163" s="92">
        <f>IF(H163=0,0,G163*('Atsipirkimo vertinimas'!$N$19)/12)</f>
        <v>0.32156249999999653</v>
      </c>
      <c r="F163" s="92">
        <f>($G$4/('Atsipirkimo vertinimas'!$N$18*12-'Atsipirkimo vertinimas'!$N$20)*H163)</f>
        <v>0.97222222222222221</v>
      </c>
      <c r="G163" s="92">
        <f t="shared" si="21"/>
        <v>78.749999999999147</v>
      </c>
      <c r="H163">
        <f>IF(C163-'Atsipirkimo vertinimas'!$N$20&lt;0,0,1)</f>
        <v>1</v>
      </c>
      <c r="I163" s="92"/>
      <c r="J163" s="92">
        <f t="shared" si="18"/>
        <v>0</v>
      </c>
      <c r="K163" s="92"/>
      <c r="L163" s="88"/>
      <c r="N163" s="88">
        <v>159</v>
      </c>
      <c r="O163" s="92">
        <f t="shared" si="19"/>
        <v>1.4910273929271436</v>
      </c>
      <c r="P163" s="92">
        <f>IF($Z$64&lt;S163+(S163*(('Atsipirkimo vertinimas'!$N$19)/12)),($Z$64*T163)+(Q163*U163),S163+(S163*(('Atsipirkimo vertinimas'!$N$19)/12)))</f>
        <v>1.4326940595938102</v>
      </c>
      <c r="Q163" s="92">
        <f>IF(T163=0,0,S163*('Atsipirkimo vertinimas'!$N$19)/12)</f>
        <v>0.40277514216209315</v>
      </c>
      <c r="R163" s="92">
        <f t="shared" si="22"/>
        <v>1.0299189174317172</v>
      </c>
      <c r="S163" s="92">
        <f t="shared" si="23"/>
        <v>98.638810325410574</v>
      </c>
      <c r="T163">
        <f>IF(N163-'Atsipirkimo vertinimas'!$N$20&lt;0,0,1)</f>
        <v>1</v>
      </c>
      <c r="U163">
        <f>IF(N163-'Atsipirkimo vertinimas'!$N$20&gt;=0,0,1)</f>
        <v>0</v>
      </c>
      <c r="V163" s="92"/>
      <c r="W163" s="92"/>
      <c r="X163" s="88"/>
    </row>
    <row r="164" spans="3:24" x14ac:dyDescent="0.25">
      <c r="C164" s="88">
        <v>160</v>
      </c>
      <c r="D164" s="92">
        <f t="shared" si="17"/>
        <v>1.3481481481481448</v>
      </c>
      <c r="E164" s="92">
        <f>IF(H164=0,0,G164*('Atsipirkimo vertinimas'!$N$19)/12)</f>
        <v>0.3175925925925891</v>
      </c>
      <c r="F164" s="92">
        <f>($G$4/('Atsipirkimo vertinimas'!$N$18*12-'Atsipirkimo vertinimas'!$N$20)*H164)</f>
        <v>0.97222222222222221</v>
      </c>
      <c r="G164" s="92">
        <f t="shared" si="21"/>
        <v>77.777777777776919</v>
      </c>
      <c r="H164">
        <f>IF(C164-'Atsipirkimo vertinimas'!$N$20&lt;0,0,1)</f>
        <v>1</v>
      </c>
      <c r="I164" s="92"/>
      <c r="J164" s="92">
        <f t="shared" si="18"/>
        <v>0</v>
      </c>
      <c r="K164" s="92"/>
      <c r="L164" s="88"/>
      <c r="N164" s="88">
        <v>160</v>
      </c>
      <c r="O164" s="92">
        <f t="shared" si="19"/>
        <v>1.4910273929271436</v>
      </c>
      <c r="P164" s="92">
        <f>IF($Z$64&lt;S164+(S164*(('Atsipirkimo vertinimas'!$N$19)/12)),($Z$64*T164)+(Q164*U164),S164+(S164*(('Atsipirkimo vertinimas'!$N$19)/12)))</f>
        <v>1.4326940595938102</v>
      </c>
      <c r="Q164" s="92">
        <f>IF(T164=0,0,S164*('Atsipirkimo vertinimas'!$N$19)/12)</f>
        <v>0.39856963991591371</v>
      </c>
      <c r="R164" s="92">
        <f t="shared" si="22"/>
        <v>1.0341244196778965</v>
      </c>
      <c r="S164" s="92">
        <f t="shared" si="23"/>
        <v>97.608891407978859</v>
      </c>
      <c r="T164">
        <f>IF(N164-'Atsipirkimo vertinimas'!$N$20&lt;0,0,1)</f>
        <v>1</v>
      </c>
      <c r="U164">
        <f>IF(N164-'Atsipirkimo vertinimas'!$N$20&gt;=0,0,1)</f>
        <v>0</v>
      </c>
      <c r="V164" s="92"/>
      <c r="W164" s="92"/>
      <c r="X164" s="88"/>
    </row>
    <row r="165" spans="3:24" x14ac:dyDescent="0.25">
      <c r="C165" s="88">
        <v>161</v>
      </c>
      <c r="D165" s="92">
        <f t="shared" si="17"/>
        <v>1.3441782407407372</v>
      </c>
      <c r="E165" s="92">
        <f>IF(H165=0,0,G165*('Atsipirkimo vertinimas'!$N$19)/12)</f>
        <v>0.31362268518518166</v>
      </c>
      <c r="F165" s="92">
        <f>($G$4/('Atsipirkimo vertinimas'!$N$18*12-'Atsipirkimo vertinimas'!$N$20)*H165)</f>
        <v>0.97222222222222221</v>
      </c>
      <c r="G165" s="92">
        <f t="shared" si="21"/>
        <v>76.80555555555469</v>
      </c>
      <c r="H165">
        <f>IF(C165-'Atsipirkimo vertinimas'!$N$20&lt;0,0,1)</f>
        <v>1</v>
      </c>
      <c r="I165" s="92"/>
      <c r="J165" s="92">
        <f t="shared" si="18"/>
        <v>0</v>
      </c>
      <c r="K165" s="92"/>
      <c r="L165" s="88"/>
      <c r="N165" s="88">
        <v>161</v>
      </c>
      <c r="O165" s="92">
        <f t="shared" si="19"/>
        <v>1.4910273929271436</v>
      </c>
      <c r="P165" s="92">
        <f>IF($Z$64&lt;S165+(S165*(('Atsipirkimo vertinimas'!$N$19)/12)),($Z$64*T165)+(Q165*U165),S165+(S165*(('Atsipirkimo vertinimas'!$N$19)/12)))</f>
        <v>1.4326940595938102</v>
      </c>
      <c r="Q165" s="92">
        <f>IF(T165=0,0,S165*('Atsipirkimo vertinimas'!$N$19)/12)</f>
        <v>0.39434696520222895</v>
      </c>
      <c r="R165" s="92">
        <f t="shared" si="22"/>
        <v>1.0383470943915813</v>
      </c>
      <c r="S165" s="92">
        <f t="shared" si="23"/>
        <v>96.574766988300965</v>
      </c>
      <c r="T165">
        <f>IF(N165-'Atsipirkimo vertinimas'!$N$20&lt;0,0,1)</f>
        <v>1</v>
      </c>
      <c r="U165">
        <f>IF(N165-'Atsipirkimo vertinimas'!$N$20&gt;=0,0,1)</f>
        <v>0</v>
      </c>
      <c r="V165" s="92"/>
      <c r="W165" s="92"/>
      <c r="X165" s="88"/>
    </row>
    <row r="166" spans="3:24" x14ac:dyDescent="0.25">
      <c r="C166" s="88">
        <v>162</v>
      </c>
      <c r="D166" s="92">
        <f t="shared" si="17"/>
        <v>1.3402083333333297</v>
      </c>
      <c r="E166" s="92">
        <f>IF(H166=0,0,G166*('Atsipirkimo vertinimas'!$N$19)/12)</f>
        <v>0.30965277777777422</v>
      </c>
      <c r="F166" s="92">
        <f>($G$4/('Atsipirkimo vertinimas'!$N$18*12-'Atsipirkimo vertinimas'!$N$20)*H166)</f>
        <v>0.97222222222222221</v>
      </c>
      <c r="G166" s="92">
        <f t="shared" si="21"/>
        <v>75.833333333332462</v>
      </c>
      <c r="H166">
        <f>IF(C166-'Atsipirkimo vertinimas'!$N$20&lt;0,0,1)</f>
        <v>1</v>
      </c>
      <c r="I166" s="92"/>
      <c r="J166" s="92">
        <f t="shared" si="18"/>
        <v>0</v>
      </c>
      <c r="K166" s="92"/>
      <c r="L166" s="88"/>
      <c r="N166" s="88">
        <v>162</v>
      </c>
      <c r="O166" s="92">
        <f t="shared" si="19"/>
        <v>1.4910273929271436</v>
      </c>
      <c r="P166" s="92">
        <f>IF($Z$64&lt;S166+(S166*(('Atsipirkimo vertinimas'!$N$19)/12)),($Z$64*T166)+(Q166*U166),S166+(S166*(('Atsipirkimo vertinimas'!$N$19)/12)))</f>
        <v>1.4326940595938102</v>
      </c>
      <c r="Q166" s="92">
        <f>IF(T166=0,0,S166*('Atsipirkimo vertinimas'!$N$19)/12)</f>
        <v>0.39010704790013001</v>
      </c>
      <c r="R166" s="92">
        <f t="shared" si="22"/>
        <v>1.0425870116936802</v>
      </c>
      <c r="S166" s="92">
        <f t="shared" si="23"/>
        <v>95.536419893909382</v>
      </c>
      <c r="T166">
        <f>IF(N166-'Atsipirkimo vertinimas'!$N$20&lt;0,0,1)</f>
        <v>1</v>
      </c>
      <c r="U166">
        <f>IF(N166-'Atsipirkimo vertinimas'!$N$20&gt;=0,0,1)</f>
        <v>0</v>
      </c>
      <c r="V166" s="92"/>
      <c r="W166" s="92"/>
      <c r="X166" s="88"/>
    </row>
    <row r="167" spans="3:24" x14ac:dyDescent="0.25">
      <c r="C167" s="88">
        <v>163</v>
      </c>
      <c r="D167" s="92">
        <f t="shared" si="17"/>
        <v>1.3362384259259223</v>
      </c>
      <c r="E167" s="92">
        <f>IF(H167=0,0,G167*('Atsipirkimo vertinimas'!$N$19)/12)</f>
        <v>0.30568287037036679</v>
      </c>
      <c r="F167" s="92">
        <f>($G$4/('Atsipirkimo vertinimas'!$N$18*12-'Atsipirkimo vertinimas'!$N$20)*H167)</f>
        <v>0.97222222222222221</v>
      </c>
      <c r="G167" s="92">
        <f t="shared" si="21"/>
        <v>74.861111111110233</v>
      </c>
      <c r="H167">
        <f>IF(C167-'Atsipirkimo vertinimas'!$N$20&lt;0,0,1)</f>
        <v>1</v>
      </c>
      <c r="I167" s="92"/>
      <c r="J167" s="92">
        <f t="shared" si="18"/>
        <v>0</v>
      </c>
      <c r="K167" s="92"/>
      <c r="L167" s="88"/>
      <c r="N167" s="88">
        <v>163</v>
      </c>
      <c r="O167" s="92">
        <f t="shared" si="19"/>
        <v>1.4910273929271436</v>
      </c>
      <c r="P167" s="92">
        <f>IF($Z$64&lt;S167+(S167*(('Atsipirkimo vertinimas'!$N$19)/12)),($Z$64*T167)+(Q167*U167),S167+(S167*(('Atsipirkimo vertinimas'!$N$19)/12)))</f>
        <v>1.4326940595938102</v>
      </c>
      <c r="Q167" s="92">
        <f>IF(T167=0,0,S167*('Atsipirkimo vertinimas'!$N$19)/12)</f>
        <v>0.3858498176023808</v>
      </c>
      <c r="R167" s="92">
        <f t="shared" si="22"/>
        <v>1.0468442419914294</v>
      </c>
      <c r="S167" s="92">
        <f t="shared" si="23"/>
        <v>94.493832882215699</v>
      </c>
      <c r="T167">
        <f>IF(N167-'Atsipirkimo vertinimas'!$N$20&lt;0,0,1)</f>
        <v>1</v>
      </c>
      <c r="U167">
        <f>IF(N167-'Atsipirkimo vertinimas'!$N$20&gt;=0,0,1)</f>
        <v>0</v>
      </c>
      <c r="V167" s="92"/>
      <c r="W167" s="92"/>
      <c r="X167" s="88"/>
    </row>
    <row r="168" spans="3:24" x14ac:dyDescent="0.25">
      <c r="C168" s="88">
        <v>164</v>
      </c>
      <c r="D168" s="92">
        <f t="shared" si="17"/>
        <v>1.332268518518515</v>
      </c>
      <c r="E168" s="92">
        <f>IF(H168=0,0,G168*('Atsipirkimo vertinimas'!$N$19)/12)</f>
        <v>0.30171296296295935</v>
      </c>
      <c r="F168" s="92">
        <f>($G$4/('Atsipirkimo vertinimas'!$N$18*12-'Atsipirkimo vertinimas'!$N$20)*H168)</f>
        <v>0.97222222222222221</v>
      </c>
      <c r="G168" s="92">
        <f t="shared" si="21"/>
        <v>73.888888888888005</v>
      </c>
      <c r="H168">
        <f>IF(C168-'Atsipirkimo vertinimas'!$N$20&lt;0,0,1)</f>
        <v>1</v>
      </c>
      <c r="I168" s="92"/>
      <c r="J168" s="92">
        <f t="shared" si="18"/>
        <v>0</v>
      </c>
      <c r="K168" s="92"/>
      <c r="L168" s="88"/>
      <c r="N168" s="88">
        <v>164</v>
      </c>
      <c r="O168" s="92">
        <f t="shared" si="19"/>
        <v>1.4910273929271436</v>
      </c>
      <c r="P168" s="92">
        <f>IF($Z$64&lt;S168+(S168*(('Atsipirkimo vertinimas'!$N$19)/12)),($Z$64*T168)+(Q168*U168),S168+(S168*(('Atsipirkimo vertinimas'!$N$19)/12)))</f>
        <v>1.4326940595938102</v>
      </c>
      <c r="Q168" s="92">
        <f>IF(T168=0,0,S168*('Atsipirkimo vertinimas'!$N$19)/12)</f>
        <v>0.38157520361424918</v>
      </c>
      <c r="R168" s="92">
        <f t="shared" si="22"/>
        <v>1.051118855979561</v>
      </c>
      <c r="S168" s="92">
        <f t="shared" si="23"/>
        <v>93.446988640224276</v>
      </c>
      <c r="T168">
        <f>IF(N168-'Atsipirkimo vertinimas'!$N$20&lt;0,0,1)</f>
        <v>1</v>
      </c>
      <c r="U168">
        <f>IF(N168-'Atsipirkimo vertinimas'!$N$20&gt;=0,0,1)</f>
        <v>0</v>
      </c>
      <c r="V168" s="92"/>
      <c r="W168" s="92"/>
      <c r="X168" s="88"/>
    </row>
    <row r="169" spans="3:24" x14ac:dyDescent="0.25">
      <c r="C169" s="88">
        <v>165</v>
      </c>
      <c r="D169" s="92">
        <f t="shared" si="17"/>
        <v>1.3282986111111075</v>
      </c>
      <c r="E169" s="92">
        <f>IF(H169=0,0,G169*('Atsipirkimo vertinimas'!$N$19)/12)</f>
        <v>0.29774305555555192</v>
      </c>
      <c r="F169" s="92">
        <f>($G$4/('Atsipirkimo vertinimas'!$N$18*12-'Atsipirkimo vertinimas'!$N$20)*H169)</f>
        <v>0.97222222222222221</v>
      </c>
      <c r="G169" s="92">
        <f t="shared" si="21"/>
        <v>72.916666666665776</v>
      </c>
      <c r="H169">
        <f>IF(C169-'Atsipirkimo vertinimas'!$N$20&lt;0,0,1)</f>
        <v>1</v>
      </c>
      <c r="I169" s="92"/>
      <c r="J169" s="92">
        <f t="shared" si="18"/>
        <v>0</v>
      </c>
      <c r="K169" s="92"/>
      <c r="L169" s="88"/>
      <c r="N169" s="88">
        <v>165</v>
      </c>
      <c r="O169" s="92">
        <f t="shared" si="19"/>
        <v>1.4910273929271436</v>
      </c>
      <c r="P169" s="92">
        <f>IF($Z$64&lt;S169+(S169*(('Atsipirkimo vertinimas'!$N$19)/12)),($Z$64*T169)+(Q169*U169),S169+(S169*(('Atsipirkimo vertinimas'!$N$19)/12)))</f>
        <v>1.4326940595938102</v>
      </c>
      <c r="Q169" s="92">
        <f>IF(T169=0,0,S169*('Atsipirkimo vertinimas'!$N$19)/12)</f>
        <v>0.37728313495233262</v>
      </c>
      <c r="R169" s="92">
        <f t="shared" si="22"/>
        <v>1.0554109246414776</v>
      </c>
      <c r="S169" s="92">
        <f t="shared" si="23"/>
        <v>92.395869784244709</v>
      </c>
      <c r="T169">
        <f>IF(N169-'Atsipirkimo vertinimas'!$N$20&lt;0,0,1)</f>
        <v>1</v>
      </c>
      <c r="U169">
        <f>IF(N169-'Atsipirkimo vertinimas'!$N$20&gt;=0,0,1)</f>
        <v>0</v>
      </c>
      <c r="V169" s="92"/>
      <c r="W169" s="92"/>
      <c r="X169" s="88"/>
    </row>
    <row r="170" spans="3:24" x14ac:dyDescent="0.25">
      <c r="C170" s="88">
        <v>166</v>
      </c>
      <c r="D170" s="92">
        <f t="shared" si="17"/>
        <v>1.3243287037036999</v>
      </c>
      <c r="E170" s="92">
        <f>IF(H170=0,0,G170*('Atsipirkimo vertinimas'!$N$19)/12)</f>
        <v>0.29377314814814448</v>
      </c>
      <c r="F170" s="92">
        <f>($G$4/('Atsipirkimo vertinimas'!$N$18*12-'Atsipirkimo vertinimas'!$N$20)*H170)</f>
        <v>0.97222222222222221</v>
      </c>
      <c r="G170" s="92">
        <f t="shared" si="21"/>
        <v>71.944444444443548</v>
      </c>
      <c r="H170">
        <f>IF(C170-'Atsipirkimo vertinimas'!$N$20&lt;0,0,1)</f>
        <v>1</v>
      </c>
      <c r="I170" s="92"/>
      <c r="J170" s="92">
        <f t="shared" si="18"/>
        <v>0</v>
      </c>
      <c r="K170" s="92"/>
      <c r="L170" s="88"/>
      <c r="N170" s="88">
        <v>166</v>
      </c>
      <c r="O170" s="92">
        <f t="shared" si="19"/>
        <v>1.4910273929271436</v>
      </c>
      <c r="P170" s="92">
        <f>IF($Z$64&lt;S170+(S170*(('Atsipirkimo vertinimas'!$N$19)/12)),($Z$64*T170)+(Q170*U170),S170+(S170*(('Atsipirkimo vertinimas'!$N$19)/12)))</f>
        <v>1.4326940595938102</v>
      </c>
      <c r="Q170" s="92">
        <f>IF(T170=0,0,S170*('Atsipirkimo vertinimas'!$N$19)/12)</f>
        <v>0.37297354034337987</v>
      </c>
      <c r="R170" s="92">
        <f t="shared" si="22"/>
        <v>1.0597205192504304</v>
      </c>
      <c r="S170" s="92">
        <f t="shared" si="23"/>
        <v>91.340458859603231</v>
      </c>
      <c r="T170">
        <f>IF(N170-'Atsipirkimo vertinimas'!$N$20&lt;0,0,1)</f>
        <v>1</v>
      </c>
      <c r="U170">
        <f>IF(N170-'Atsipirkimo vertinimas'!$N$20&gt;=0,0,1)</f>
        <v>0</v>
      </c>
      <c r="V170" s="92"/>
      <c r="W170" s="92"/>
      <c r="X170" s="88"/>
    </row>
    <row r="171" spans="3:24" x14ac:dyDescent="0.25">
      <c r="C171" s="88">
        <v>167</v>
      </c>
      <c r="D171" s="92">
        <f t="shared" si="17"/>
        <v>1.3203587962962926</v>
      </c>
      <c r="E171" s="92">
        <f>IF(H171=0,0,G171*('Atsipirkimo vertinimas'!$N$19)/12)</f>
        <v>0.2898032407407371</v>
      </c>
      <c r="F171" s="92">
        <f>($G$4/('Atsipirkimo vertinimas'!$N$18*12-'Atsipirkimo vertinimas'!$N$20)*H171)</f>
        <v>0.97222222222222221</v>
      </c>
      <c r="G171" s="92">
        <f t="shared" si="21"/>
        <v>70.972222222221319</v>
      </c>
      <c r="H171">
        <f>IF(C171-'Atsipirkimo vertinimas'!$N$20&lt;0,0,1)</f>
        <v>1</v>
      </c>
      <c r="I171" s="92"/>
      <c r="J171" s="92">
        <f t="shared" si="18"/>
        <v>0</v>
      </c>
      <c r="K171" s="92"/>
      <c r="L171" s="91">
        <f>IF('Atsipirkimo vertinimas'!$N$18*12&gt;Grafikas!C171,SUM(D160:D171),0)</f>
        <v>16.106319444444399</v>
      </c>
      <c r="N171" s="88">
        <v>167</v>
      </c>
      <c r="O171" s="92">
        <f t="shared" si="19"/>
        <v>1.4910273929271436</v>
      </c>
      <c r="P171" s="92">
        <f>IF($Z$64&lt;S171+(S171*(('Atsipirkimo vertinimas'!$N$19)/12)),($Z$64*T171)+(Q171*U171),S171+(S171*(('Atsipirkimo vertinimas'!$N$19)/12)))</f>
        <v>1.4326940595938102</v>
      </c>
      <c r="Q171" s="92">
        <f>IF(T171=0,0,S171*('Atsipirkimo vertinimas'!$N$19)/12)</f>
        <v>0.36864634822310727</v>
      </c>
      <c r="R171" s="92">
        <f t="shared" si="22"/>
        <v>1.064047711370703</v>
      </c>
      <c r="S171" s="92">
        <f t="shared" si="23"/>
        <v>90.280738340352798</v>
      </c>
      <c r="T171">
        <f>IF(N171-'Atsipirkimo vertinimas'!$N$20&lt;0,0,1)</f>
        <v>1</v>
      </c>
      <c r="U171">
        <f>IF(N171-'Atsipirkimo vertinimas'!$N$20&gt;=0,0,1)</f>
        <v>0</v>
      </c>
      <c r="V171" s="92"/>
      <c r="W171" s="92"/>
      <c r="X171" s="91">
        <f>IF('Atsipirkimo vertinimas'!$N$18*12&gt;Grafikas!C171,SUM(O160:O171),0)</f>
        <v>17.892328715125725</v>
      </c>
    </row>
    <row r="172" spans="3:24" x14ac:dyDescent="0.25">
      <c r="C172" s="88">
        <v>168</v>
      </c>
      <c r="D172" s="92">
        <f t="shared" si="17"/>
        <v>1.3163888888888853</v>
      </c>
      <c r="E172" s="92">
        <f>IF(H172=0,0,G172*('Atsipirkimo vertinimas'!$N$19)/12)</f>
        <v>0.28583333333332966</v>
      </c>
      <c r="F172" s="92">
        <f>($G$4/('Atsipirkimo vertinimas'!$N$18*12-'Atsipirkimo vertinimas'!$N$20)*H172)</f>
        <v>0.97222222222222221</v>
      </c>
      <c r="G172" s="92">
        <f t="shared" si="21"/>
        <v>69.999999999999091</v>
      </c>
      <c r="H172">
        <f>IF(C172-'Atsipirkimo vertinimas'!$N$20&lt;0,0,1)</f>
        <v>1</v>
      </c>
      <c r="I172" s="92"/>
      <c r="J172" s="92">
        <f t="shared" si="18"/>
        <v>0</v>
      </c>
      <c r="K172" s="92"/>
      <c r="L172" s="88"/>
      <c r="N172" s="88">
        <v>168</v>
      </c>
      <c r="O172" s="92">
        <f t="shared" si="19"/>
        <v>1.4910273929271436</v>
      </c>
      <c r="P172" s="92">
        <f>IF($Z$64&lt;S172+(S172*(('Atsipirkimo vertinimas'!$N$19)/12)),($Z$64*T172)+(Q172*U172),S172+(S172*(('Atsipirkimo vertinimas'!$N$19)/12)))</f>
        <v>1.4326940595938102</v>
      </c>
      <c r="Q172" s="92">
        <f>IF(T172=0,0,S172*('Atsipirkimo vertinimas'!$N$19)/12)</f>
        <v>0.36430148673501023</v>
      </c>
      <c r="R172" s="92">
        <f t="shared" si="22"/>
        <v>1.0683925728588</v>
      </c>
      <c r="S172" s="92">
        <f t="shared" si="23"/>
        <v>89.216690628982093</v>
      </c>
      <c r="T172">
        <f>IF(N172-'Atsipirkimo vertinimas'!$N$20&lt;0,0,1)</f>
        <v>1</v>
      </c>
      <c r="U172">
        <f>IF(N172-'Atsipirkimo vertinimas'!$N$20&gt;=0,0,1)</f>
        <v>0</v>
      </c>
      <c r="V172" s="92"/>
      <c r="W172" s="92"/>
      <c r="X172" s="88"/>
    </row>
    <row r="173" spans="3:24" x14ac:dyDescent="0.25">
      <c r="C173" s="88">
        <v>169</v>
      </c>
      <c r="D173" s="92">
        <f t="shared" si="17"/>
        <v>1.3124189814814777</v>
      </c>
      <c r="E173" s="92">
        <f>IF(H173=0,0,G173*('Atsipirkimo vertinimas'!$N$19)/12)</f>
        <v>0.28186342592592223</v>
      </c>
      <c r="F173" s="92">
        <f>($G$4/('Atsipirkimo vertinimas'!$N$18*12-'Atsipirkimo vertinimas'!$N$20)*H173)</f>
        <v>0.97222222222222221</v>
      </c>
      <c r="G173" s="92">
        <f t="shared" si="21"/>
        <v>69.027777777776862</v>
      </c>
      <c r="H173">
        <f>IF(C173-'Atsipirkimo vertinimas'!$N$20&lt;0,0,1)</f>
        <v>1</v>
      </c>
      <c r="I173" s="92"/>
      <c r="J173" s="92">
        <f t="shared" si="18"/>
        <v>0</v>
      </c>
      <c r="K173" s="92"/>
      <c r="L173" s="88"/>
      <c r="N173" s="88">
        <v>169</v>
      </c>
      <c r="O173" s="92">
        <f t="shared" si="19"/>
        <v>1.4910273929271436</v>
      </c>
      <c r="P173" s="92">
        <f>IF($Z$64&lt;S173+(S173*(('Atsipirkimo vertinimas'!$N$19)/12)),($Z$64*T173)+(Q173*U173),S173+(S173*(('Atsipirkimo vertinimas'!$N$19)/12)))</f>
        <v>1.4326940595938102</v>
      </c>
      <c r="Q173" s="92">
        <f>IF(T173=0,0,S173*('Atsipirkimo vertinimas'!$N$19)/12)</f>
        <v>0.35993888372917016</v>
      </c>
      <c r="R173" s="92">
        <f t="shared" si="22"/>
        <v>1.0727551758646401</v>
      </c>
      <c r="S173" s="92">
        <f t="shared" si="23"/>
        <v>88.148298056123295</v>
      </c>
      <c r="T173">
        <f>IF(N173-'Atsipirkimo vertinimas'!$N$20&lt;0,0,1)</f>
        <v>1</v>
      </c>
      <c r="U173">
        <f>IF(N173-'Atsipirkimo vertinimas'!$N$20&gt;=0,0,1)</f>
        <v>0</v>
      </c>
      <c r="V173" s="92"/>
      <c r="W173" s="92"/>
      <c r="X173" s="88"/>
    </row>
    <row r="174" spans="3:24" x14ac:dyDescent="0.25">
      <c r="C174" s="88">
        <v>170</v>
      </c>
      <c r="D174" s="92">
        <f t="shared" si="17"/>
        <v>1.3084490740740704</v>
      </c>
      <c r="E174" s="92">
        <f>IF(H174=0,0,G174*('Atsipirkimo vertinimas'!$N$19)/12)</f>
        <v>0.27789351851851479</v>
      </c>
      <c r="F174" s="92">
        <f>($G$4/('Atsipirkimo vertinimas'!$N$18*12-'Atsipirkimo vertinimas'!$N$20)*H174)</f>
        <v>0.97222222222222221</v>
      </c>
      <c r="G174" s="92">
        <f t="shared" si="21"/>
        <v>68.055555555554633</v>
      </c>
      <c r="H174">
        <f>IF(C174-'Atsipirkimo vertinimas'!$N$20&lt;0,0,1)</f>
        <v>1</v>
      </c>
      <c r="I174" s="92"/>
      <c r="J174" s="92">
        <f t="shared" si="18"/>
        <v>0</v>
      </c>
      <c r="K174" s="92"/>
      <c r="L174" s="88"/>
      <c r="N174" s="88">
        <v>170</v>
      </c>
      <c r="O174" s="92">
        <f t="shared" si="19"/>
        <v>1.4910273929271436</v>
      </c>
      <c r="P174" s="92">
        <f>IF($Z$64&lt;S174+(S174*(('Atsipirkimo vertinimas'!$N$19)/12)),($Z$64*T174)+(Q174*U174),S174+(S174*(('Atsipirkimo vertinimas'!$N$19)/12)))</f>
        <v>1.4326940595938102</v>
      </c>
      <c r="Q174" s="92">
        <f>IF(T174=0,0,S174*('Atsipirkimo vertinimas'!$N$19)/12)</f>
        <v>0.35555846676105612</v>
      </c>
      <c r="R174" s="92">
        <f t="shared" si="22"/>
        <v>1.0771355928327542</v>
      </c>
      <c r="S174" s="92">
        <f t="shared" si="23"/>
        <v>87.075542880258652</v>
      </c>
      <c r="T174">
        <f>IF(N174-'Atsipirkimo vertinimas'!$N$20&lt;0,0,1)</f>
        <v>1</v>
      </c>
      <c r="U174">
        <f>IF(N174-'Atsipirkimo vertinimas'!$N$20&gt;=0,0,1)</f>
        <v>0</v>
      </c>
      <c r="V174" s="92"/>
      <c r="W174" s="92"/>
      <c r="X174" s="88"/>
    </row>
    <row r="175" spans="3:24" x14ac:dyDescent="0.25">
      <c r="C175" s="88">
        <v>171</v>
      </c>
      <c r="D175" s="92">
        <f t="shared" si="17"/>
        <v>1.3044791666666629</v>
      </c>
      <c r="E175" s="92">
        <f>IF(H175=0,0,G175*('Atsipirkimo vertinimas'!$N$19)/12)</f>
        <v>0.27392361111110736</v>
      </c>
      <c r="F175" s="92">
        <f>($G$4/('Atsipirkimo vertinimas'!$N$18*12-'Atsipirkimo vertinimas'!$N$20)*H175)</f>
        <v>0.97222222222222221</v>
      </c>
      <c r="G175" s="92">
        <f t="shared" si="21"/>
        <v>67.083333333332405</v>
      </c>
      <c r="H175">
        <f>IF(C175-'Atsipirkimo vertinimas'!$N$20&lt;0,0,1)</f>
        <v>1</v>
      </c>
      <c r="I175" s="92"/>
      <c r="J175" s="92">
        <f t="shared" si="18"/>
        <v>0</v>
      </c>
      <c r="K175" s="92"/>
      <c r="L175" s="88"/>
      <c r="N175" s="88">
        <v>171</v>
      </c>
      <c r="O175" s="92">
        <f t="shared" si="19"/>
        <v>1.4910273929271436</v>
      </c>
      <c r="P175" s="92">
        <f>IF($Z$64&lt;S175+(S175*(('Atsipirkimo vertinimas'!$N$19)/12)),($Z$64*T175)+(Q175*U175),S175+(S175*(('Atsipirkimo vertinimas'!$N$19)/12)))</f>
        <v>1.4326940595938102</v>
      </c>
      <c r="Q175" s="92">
        <f>IF(T175=0,0,S175*('Atsipirkimo vertinimas'!$N$19)/12)</f>
        <v>0.35116016309032244</v>
      </c>
      <c r="R175" s="92">
        <f t="shared" si="22"/>
        <v>1.0815338965034877</v>
      </c>
      <c r="S175" s="92">
        <f t="shared" si="23"/>
        <v>85.998407287425891</v>
      </c>
      <c r="T175">
        <f>IF(N175-'Atsipirkimo vertinimas'!$N$20&lt;0,0,1)</f>
        <v>1</v>
      </c>
      <c r="U175">
        <f>IF(N175-'Atsipirkimo vertinimas'!$N$20&gt;=0,0,1)</f>
        <v>0</v>
      </c>
      <c r="V175" s="92"/>
      <c r="W175" s="92"/>
      <c r="X175" s="88"/>
    </row>
    <row r="176" spans="3:24" x14ac:dyDescent="0.25">
      <c r="C176" s="88">
        <v>172</v>
      </c>
      <c r="D176" s="92">
        <f t="shared" si="17"/>
        <v>1.3005092592592555</v>
      </c>
      <c r="E176" s="92">
        <f>IF(H176=0,0,G176*('Atsipirkimo vertinimas'!$N$19)/12)</f>
        <v>0.26995370370369992</v>
      </c>
      <c r="F176" s="92">
        <f>($G$4/('Atsipirkimo vertinimas'!$N$18*12-'Atsipirkimo vertinimas'!$N$20)*H176)</f>
        <v>0.97222222222222221</v>
      </c>
      <c r="G176" s="92">
        <f t="shared" si="21"/>
        <v>66.111111111110176</v>
      </c>
      <c r="H176">
        <f>IF(C176-'Atsipirkimo vertinimas'!$N$20&lt;0,0,1)</f>
        <v>1</v>
      </c>
      <c r="I176" s="92"/>
      <c r="J176" s="92">
        <f t="shared" si="18"/>
        <v>0</v>
      </c>
      <c r="K176" s="92"/>
      <c r="L176" s="88"/>
      <c r="N176" s="88">
        <v>172</v>
      </c>
      <c r="O176" s="92">
        <f t="shared" si="19"/>
        <v>1.4910273929271436</v>
      </c>
      <c r="P176" s="92">
        <f>IF($Z$64&lt;S176+(S176*(('Atsipirkimo vertinimas'!$N$19)/12)),($Z$64*T176)+(Q176*U176),S176+(S176*(('Atsipirkimo vertinimas'!$N$19)/12)))</f>
        <v>1.4326940595938102</v>
      </c>
      <c r="Q176" s="92">
        <f>IF(T176=0,0,S176*('Atsipirkimo vertinimas'!$N$19)/12)</f>
        <v>0.34674389967959979</v>
      </c>
      <c r="R176" s="92">
        <f t="shared" si="22"/>
        <v>1.0859501599142105</v>
      </c>
      <c r="S176" s="92">
        <f t="shared" si="23"/>
        <v>84.916873390922404</v>
      </c>
      <c r="T176">
        <f>IF(N176-'Atsipirkimo vertinimas'!$N$20&lt;0,0,1)</f>
        <v>1</v>
      </c>
      <c r="U176">
        <f>IF(N176-'Atsipirkimo vertinimas'!$N$20&gt;=0,0,1)</f>
        <v>0</v>
      </c>
      <c r="V176" s="92"/>
      <c r="W176" s="92"/>
      <c r="X176" s="88"/>
    </row>
    <row r="177" spans="3:24" x14ac:dyDescent="0.25">
      <c r="C177" s="88">
        <v>173</v>
      </c>
      <c r="D177" s="92">
        <f t="shared" si="17"/>
        <v>1.296539351851848</v>
      </c>
      <c r="E177" s="92">
        <f>IF(H177=0,0,G177*('Atsipirkimo vertinimas'!$N$19)/12)</f>
        <v>0.26598379629629249</v>
      </c>
      <c r="F177" s="92">
        <f>($G$4/('Atsipirkimo vertinimas'!$N$18*12-'Atsipirkimo vertinimas'!$N$20)*H177)</f>
        <v>0.97222222222222221</v>
      </c>
      <c r="G177" s="92">
        <f t="shared" si="21"/>
        <v>65.138888888887948</v>
      </c>
      <c r="H177">
        <f>IF(C177-'Atsipirkimo vertinimas'!$N$20&lt;0,0,1)</f>
        <v>1</v>
      </c>
      <c r="I177" s="92"/>
      <c r="J177" s="92">
        <f t="shared" si="18"/>
        <v>0</v>
      </c>
      <c r="K177" s="92"/>
      <c r="L177" s="88"/>
      <c r="N177" s="88">
        <v>173</v>
      </c>
      <c r="O177" s="92">
        <f t="shared" si="19"/>
        <v>1.4910273929271436</v>
      </c>
      <c r="P177" s="92">
        <f>IF($Z$64&lt;S177+(S177*(('Atsipirkimo vertinimas'!$N$19)/12)),($Z$64*T177)+(Q177*U177),S177+(S177*(('Atsipirkimo vertinimas'!$N$19)/12)))</f>
        <v>1.4326940595938102</v>
      </c>
      <c r="Q177" s="92">
        <f>IF(T177=0,0,S177*('Atsipirkimo vertinimas'!$N$19)/12)</f>
        <v>0.34230960319328352</v>
      </c>
      <c r="R177" s="92">
        <f t="shared" si="22"/>
        <v>1.0903844564005267</v>
      </c>
      <c r="S177" s="92">
        <f t="shared" si="23"/>
        <v>83.8309232310082</v>
      </c>
      <c r="T177">
        <f>IF(N177-'Atsipirkimo vertinimas'!$N$20&lt;0,0,1)</f>
        <v>1</v>
      </c>
      <c r="U177">
        <f>IF(N177-'Atsipirkimo vertinimas'!$N$20&gt;=0,0,1)</f>
        <v>0</v>
      </c>
      <c r="V177" s="92"/>
      <c r="W177" s="92"/>
      <c r="X177" s="88"/>
    </row>
    <row r="178" spans="3:24" x14ac:dyDescent="0.25">
      <c r="C178" s="88">
        <v>174</v>
      </c>
      <c r="D178" s="92">
        <f t="shared" si="17"/>
        <v>1.2925694444444407</v>
      </c>
      <c r="E178" s="92">
        <f>IF(H178=0,0,G178*('Atsipirkimo vertinimas'!$N$19)/12)</f>
        <v>0.26201388888888505</v>
      </c>
      <c r="F178" s="92">
        <f>($G$4/('Atsipirkimo vertinimas'!$N$18*12-'Atsipirkimo vertinimas'!$N$20)*H178)</f>
        <v>0.97222222222222221</v>
      </c>
      <c r="G178" s="92">
        <f t="shared" si="21"/>
        <v>64.166666666665719</v>
      </c>
      <c r="H178">
        <f>IF(C178-'Atsipirkimo vertinimas'!$N$20&lt;0,0,1)</f>
        <v>1</v>
      </c>
      <c r="I178" s="92"/>
      <c r="J178" s="92">
        <f t="shared" si="18"/>
        <v>0</v>
      </c>
      <c r="K178" s="92"/>
      <c r="L178" s="88"/>
      <c r="N178" s="88">
        <v>174</v>
      </c>
      <c r="O178" s="92">
        <f t="shared" si="19"/>
        <v>1.4910273929271436</v>
      </c>
      <c r="P178" s="92">
        <f>IF($Z$64&lt;S178+(S178*(('Atsipirkimo vertinimas'!$N$19)/12)),($Z$64*T178)+(Q178*U178),S178+(S178*(('Atsipirkimo vertinimas'!$N$19)/12)))</f>
        <v>1.4326940595938102</v>
      </c>
      <c r="Q178" s="92">
        <f>IF(T178=0,0,S178*('Atsipirkimo vertinimas'!$N$19)/12)</f>
        <v>0.33785719999631469</v>
      </c>
      <c r="R178" s="92">
        <f t="shared" si="22"/>
        <v>1.0948368595974955</v>
      </c>
      <c r="S178" s="92">
        <f t="shared" si="23"/>
        <v>82.740538774607671</v>
      </c>
      <c r="T178">
        <f>IF(N178-'Atsipirkimo vertinimas'!$N$20&lt;0,0,1)</f>
        <v>1</v>
      </c>
      <c r="U178">
        <f>IF(N178-'Atsipirkimo vertinimas'!$N$20&gt;=0,0,1)</f>
        <v>0</v>
      </c>
      <c r="V178" s="92"/>
      <c r="W178" s="92"/>
      <c r="X178" s="88"/>
    </row>
    <row r="179" spans="3:24" x14ac:dyDescent="0.25">
      <c r="C179" s="88">
        <v>175</v>
      </c>
      <c r="D179" s="92">
        <f t="shared" si="17"/>
        <v>1.2885995370370331</v>
      </c>
      <c r="E179" s="92">
        <f>IF(H179=0,0,G179*('Atsipirkimo vertinimas'!$N$19)/12)</f>
        <v>0.25804398148147761</v>
      </c>
      <c r="F179" s="92">
        <f>($G$4/('Atsipirkimo vertinimas'!$N$18*12-'Atsipirkimo vertinimas'!$N$20)*H179)</f>
        <v>0.97222222222222221</v>
      </c>
      <c r="G179" s="92">
        <f t="shared" si="21"/>
        <v>63.194444444443498</v>
      </c>
      <c r="H179">
        <f>IF(C179-'Atsipirkimo vertinimas'!$N$20&lt;0,0,1)</f>
        <v>1</v>
      </c>
      <c r="I179" s="92"/>
      <c r="J179" s="92">
        <f t="shared" si="18"/>
        <v>0</v>
      </c>
      <c r="K179" s="92"/>
      <c r="L179" s="88"/>
      <c r="N179" s="88">
        <v>175</v>
      </c>
      <c r="O179" s="92">
        <f t="shared" si="19"/>
        <v>1.4910273929271436</v>
      </c>
      <c r="P179" s="92">
        <f>IF($Z$64&lt;S179+(S179*(('Atsipirkimo vertinimas'!$N$19)/12)),($Z$64*T179)+(Q179*U179),S179+(S179*(('Atsipirkimo vertinimas'!$N$19)/12)))</f>
        <v>1.4326940595938102</v>
      </c>
      <c r="Q179" s="92">
        <f>IF(T179=0,0,S179*('Atsipirkimo vertinimas'!$N$19)/12)</f>
        <v>0.33338661615295823</v>
      </c>
      <c r="R179" s="92">
        <f t="shared" si="22"/>
        <v>1.0993074434408521</v>
      </c>
      <c r="S179" s="92">
        <f t="shared" si="23"/>
        <v>81.645701915010179</v>
      </c>
      <c r="T179">
        <f>IF(N179-'Atsipirkimo vertinimas'!$N$20&lt;0,0,1)</f>
        <v>1</v>
      </c>
      <c r="U179">
        <f>IF(N179-'Atsipirkimo vertinimas'!$N$20&gt;=0,0,1)</f>
        <v>0</v>
      </c>
      <c r="V179" s="92"/>
      <c r="W179" s="92"/>
      <c r="X179" s="88"/>
    </row>
    <row r="180" spans="3:24" x14ac:dyDescent="0.25">
      <c r="C180" s="88">
        <v>176</v>
      </c>
      <c r="D180" s="92">
        <f t="shared" si="17"/>
        <v>1.2846296296296258</v>
      </c>
      <c r="E180" s="92">
        <f>IF(H180=0,0,G180*('Atsipirkimo vertinimas'!$N$19)/12)</f>
        <v>0.25407407407407023</v>
      </c>
      <c r="F180" s="92">
        <f>($G$4/('Atsipirkimo vertinimas'!$N$18*12-'Atsipirkimo vertinimas'!$N$20)*H180)</f>
        <v>0.97222222222222221</v>
      </c>
      <c r="G180" s="92">
        <f t="shared" si="21"/>
        <v>62.222222222221276</v>
      </c>
      <c r="H180">
        <f>IF(C180-'Atsipirkimo vertinimas'!$N$20&lt;0,0,1)</f>
        <v>1</v>
      </c>
      <c r="I180" s="92"/>
      <c r="J180" s="92">
        <f t="shared" si="18"/>
        <v>0</v>
      </c>
      <c r="K180" s="92"/>
      <c r="L180" s="88"/>
      <c r="N180" s="88">
        <v>176</v>
      </c>
      <c r="O180" s="92">
        <f t="shared" si="19"/>
        <v>1.4910273929271436</v>
      </c>
      <c r="P180" s="92">
        <f>IF($Z$64&lt;S180+(S180*(('Atsipirkimo vertinimas'!$N$19)/12)),($Z$64*T180)+(Q180*U180),S180+(S180*(('Atsipirkimo vertinimas'!$N$19)/12)))</f>
        <v>1.4326940595938102</v>
      </c>
      <c r="Q180" s="92">
        <f>IF(T180=0,0,S180*('Atsipirkimo vertinimas'!$N$19)/12)</f>
        <v>0.32889777742557474</v>
      </c>
      <c r="R180" s="92">
        <f t="shared" si="22"/>
        <v>1.1037962821682354</v>
      </c>
      <c r="S180" s="92">
        <f t="shared" si="23"/>
        <v>80.546394471569329</v>
      </c>
      <c r="T180">
        <f>IF(N180-'Atsipirkimo vertinimas'!$N$20&lt;0,0,1)</f>
        <v>1</v>
      </c>
      <c r="U180">
        <f>IF(N180-'Atsipirkimo vertinimas'!$N$20&gt;=0,0,1)</f>
        <v>0</v>
      </c>
      <c r="V180" s="92"/>
      <c r="W180" s="92"/>
      <c r="X180" s="88"/>
    </row>
    <row r="181" spans="3:24" x14ac:dyDescent="0.25">
      <c r="C181" s="88">
        <v>177</v>
      </c>
      <c r="D181" s="92">
        <f t="shared" si="17"/>
        <v>1.2806597222222185</v>
      </c>
      <c r="E181" s="92">
        <f>IF(H181=0,0,G181*('Atsipirkimo vertinimas'!$N$19)/12)</f>
        <v>0.25010416666666285</v>
      </c>
      <c r="F181" s="92">
        <f>($G$4/('Atsipirkimo vertinimas'!$N$18*12-'Atsipirkimo vertinimas'!$N$20)*H181)</f>
        <v>0.97222222222222221</v>
      </c>
      <c r="G181" s="92">
        <f t="shared" si="21"/>
        <v>61.249999999999055</v>
      </c>
      <c r="H181">
        <f>IF(C181-'Atsipirkimo vertinimas'!$N$20&lt;0,0,1)</f>
        <v>1</v>
      </c>
      <c r="I181" s="92"/>
      <c r="J181" s="92">
        <f t="shared" si="18"/>
        <v>0</v>
      </c>
      <c r="K181" s="92"/>
      <c r="L181" s="88"/>
      <c r="N181" s="88">
        <v>177</v>
      </c>
      <c r="O181" s="92">
        <f t="shared" si="19"/>
        <v>1.4910273929271436</v>
      </c>
      <c r="P181" s="92">
        <f>IF($Z$64&lt;S181+(S181*(('Atsipirkimo vertinimas'!$N$19)/12)),($Z$64*T181)+(Q181*U181),S181+(S181*(('Atsipirkimo vertinimas'!$N$19)/12)))</f>
        <v>1.4326940595938102</v>
      </c>
      <c r="Q181" s="92">
        <f>IF(T181=0,0,S181*('Atsipirkimo vertinimas'!$N$19)/12)</f>
        <v>0.32439060927338781</v>
      </c>
      <c r="R181" s="92">
        <f t="shared" si="22"/>
        <v>1.1083034503204225</v>
      </c>
      <c r="S181" s="92">
        <f t="shared" si="23"/>
        <v>79.442598189401096</v>
      </c>
      <c r="T181">
        <f>IF(N181-'Atsipirkimo vertinimas'!$N$20&lt;0,0,1)</f>
        <v>1</v>
      </c>
      <c r="U181">
        <f>IF(N181-'Atsipirkimo vertinimas'!$N$20&gt;=0,0,1)</f>
        <v>0</v>
      </c>
      <c r="V181" s="92"/>
      <c r="W181" s="92"/>
      <c r="X181" s="88"/>
    </row>
    <row r="182" spans="3:24" x14ac:dyDescent="0.25">
      <c r="C182" s="88">
        <v>178</v>
      </c>
      <c r="D182" s="92">
        <f t="shared" si="17"/>
        <v>1.2766898148148109</v>
      </c>
      <c r="E182" s="92">
        <f>IF(H182=0,0,G182*('Atsipirkimo vertinimas'!$N$19)/12)</f>
        <v>0.24613425925925539</v>
      </c>
      <c r="F182" s="92">
        <f>($G$4/('Atsipirkimo vertinimas'!$N$18*12-'Atsipirkimo vertinimas'!$N$20)*H182)</f>
        <v>0.97222222222222221</v>
      </c>
      <c r="G182" s="92">
        <f t="shared" si="21"/>
        <v>60.277777777776834</v>
      </c>
      <c r="H182">
        <f>IF(C182-'Atsipirkimo vertinimas'!$N$20&lt;0,0,1)</f>
        <v>1</v>
      </c>
      <c r="I182" s="92"/>
      <c r="J182" s="92">
        <f t="shared" si="18"/>
        <v>0</v>
      </c>
      <c r="K182" s="92"/>
      <c r="L182" s="88"/>
      <c r="N182" s="88">
        <v>178</v>
      </c>
      <c r="O182" s="92">
        <f t="shared" si="19"/>
        <v>1.4910273929271436</v>
      </c>
      <c r="P182" s="92">
        <f>IF($Z$64&lt;S182+(S182*(('Atsipirkimo vertinimas'!$N$19)/12)),($Z$64*T182)+(Q182*U182),S182+(S182*(('Atsipirkimo vertinimas'!$N$19)/12)))</f>
        <v>1.4326940595938102</v>
      </c>
      <c r="Q182" s="92">
        <f>IF(T182=0,0,S182*('Atsipirkimo vertinimas'!$N$19)/12)</f>
        <v>0.31986503685124612</v>
      </c>
      <c r="R182" s="92">
        <f t="shared" si="22"/>
        <v>1.1128290227425641</v>
      </c>
      <c r="S182" s="92">
        <f t="shared" si="23"/>
        <v>78.334294739080676</v>
      </c>
      <c r="T182">
        <f>IF(N182-'Atsipirkimo vertinimas'!$N$20&lt;0,0,1)</f>
        <v>1</v>
      </c>
      <c r="U182">
        <f>IF(N182-'Atsipirkimo vertinimas'!$N$20&gt;=0,0,1)</f>
        <v>0</v>
      </c>
      <c r="V182" s="92"/>
      <c r="W182" s="92"/>
      <c r="X182" s="88"/>
    </row>
    <row r="183" spans="3:24" x14ac:dyDescent="0.25">
      <c r="C183" s="88">
        <v>179</v>
      </c>
      <c r="D183" s="92">
        <f t="shared" si="17"/>
        <v>1.2727199074074036</v>
      </c>
      <c r="E183" s="92">
        <f>IF(H183=0,0,G183*('Atsipirkimo vertinimas'!$N$19)/12)</f>
        <v>0.24216435185184801</v>
      </c>
      <c r="F183" s="92">
        <f>($G$4/('Atsipirkimo vertinimas'!$N$18*12-'Atsipirkimo vertinimas'!$N$20)*H183)</f>
        <v>0.97222222222222221</v>
      </c>
      <c r="G183" s="92">
        <f t="shared" si="21"/>
        <v>59.305555555554612</v>
      </c>
      <c r="H183">
        <f>IF(C183-'Atsipirkimo vertinimas'!$N$20&lt;0,0,1)</f>
        <v>1</v>
      </c>
      <c r="I183" s="92"/>
      <c r="J183" s="92">
        <f t="shared" si="18"/>
        <v>0</v>
      </c>
      <c r="K183" s="92"/>
      <c r="L183" s="91">
        <f>IF('Atsipirkimo vertinimas'!$N$18*12&gt;Grafikas!C183,SUM(D172:D183),0)</f>
        <v>15.534652777777731</v>
      </c>
      <c r="N183" s="88">
        <v>179</v>
      </c>
      <c r="O183" s="92">
        <f t="shared" si="19"/>
        <v>1.4910273929271436</v>
      </c>
      <c r="P183" s="92">
        <f>IF($Z$64&lt;S183+(S183*(('Atsipirkimo vertinimas'!$N$19)/12)),($Z$64*T183)+(Q183*U183),S183+(S183*(('Atsipirkimo vertinimas'!$N$19)/12)))</f>
        <v>1.4326940595938102</v>
      </c>
      <c r="Q183" s="92">
        <f>IF(T183=0,0,S183*('Atsipirkimo vertinimas'!$N$19)/12)</f>
        <v>0.31532098500838063</v>
      </c>
      <c r="R183" s="92">
        <f t="shared" si="22"/>
        <v>1.1173730745854296</v>
      </c>
      <c r="S183" s="92">
        <f t="shared" si="23"/>
        <v>77.221465716338116</v>
      </c>
      <c r="T183">
        <f>IF(N183-'Atsipirkimo vertinimas'!$N$20&lt;0,0,1)</f>
        <v>1</v>
      </c>
      <c r="U183">
        <f>IF(N183-'Atsipirkimo vertinimas'!$N$20&gt;=0,0,1)</f>
        <v>0</v>
      </c>
      <c r="V183" s="92"/>
      <c r="W183" s="92"/>
      <c r="X183" s="91">
        <f>IF('Atsipirkimo vertinimas'!$N$18*12&gt;Grafikas!C183,SUM(O172:O183),0)</f>
        <v>17.892328715125725</v>
      </c>
    </row>
    <row r="184" spans="3:24" x14ac:dyDescent="0.25">
      <c r="C184" s="88">
        <v>180</v>
      </c>
      <c r="D184" s="92">
        <f t="shared" si="17"/>
        <v>1.268749999999996</v>
      </c>
      <c r="E184" s="92">
        <f>IF(H184=0,0,G184*('Atsipirkimo vertinimas'!$N$19)/12)</f>
        <v>0.2381944444444406</v>
      </c>
      <c r="F184" s="92">
        <f>($G$4/('Atsipirkimo vertinimas'!$N$18*12-'Atsipirkimo vertinimas'!$N$20)*H184)</f>
        <v>0.97222222222222221</v>
      </c>
      <c r="G184" s="92">
        <f t="shared" si="21"/>
        <v>58.333333333332391</v>
      </c>
      <c r="H184">
        <f>IF(C184-'Atsipirkimo vertinimas'!$N$20&lt;0,0,1)</f>
        <v>1</v>
      </c>
      <c r="I184" s="92"/>
      <c r="J184" s="92">
        <f t="shared" si="18"/>
        <v>0</v>
      </c>
      <c r="K184" s="92"/>
      <c r="L184" s="88"/>
      <c r="N184" s="88">
        <v>180</v>
      </c>
      <c r="O184" s="92">
        <f t="shared" si="19"/>
        <v>1.4910273929271436</v>
      </c>
      <c r="P184" s="92">
        <f>IF($Z$64&lt;S184+(S184*(('Atsipirkimo vertinimas'!$N$19)/12)),($Z$64*T184)+(Q184*U184),S184+(S184*(('Atsipirkimo vertinimas'!$N$19)/12)))</f>
        <v>1.4326940595938102</v>
      </c>
      <c r="Q184" s="92">
        <f>IF(T184=0,0,S184*('Atsipirkimo vertinimas'!$N$19)/12)</f>
        <v>0.3107583782871568</v>
      </c>
      <c r="R184" s="92">
        <f t="shared" si="22"/>
        <v>1.1219356813066534</v>
      </c>
      <c r="S184" s="92">
        <f t="shared" si="23"/>
        <v>76.104092641752686</v>
      </c>
      <c r="T184">
        <f>IF(N184-'Atsipirkimo vertinimas'!$N$20&lt;0,0,1)</f>
        <v>1</v>
      </c>
      <c r="U184">
        <f>IF(N184-'Atsipirkimo vertinimas'!$N$20&gt;=0,0,1)</f>
        <v>0</v>
      </c>
      <c r="V184" s="92"/>
      <c r="W184" s="92"/>
      <c r="X184" s="88"/>
    </row>
    <row r="185" spans="3:24" x14ac:dyDescent="0.25">
      <c r="C185" s="88">
        <v>181</v>
      </c>
      <c r="D185" s="92">
        <f t="shared" si="17"/>
        <v>1.2647800925925887</v>
      </c>
      <c r="E185" s="92">
        <f>IF(H185=0,0,G185*('Atsipirkimo vertinimas'!$N$19)/12)</f>
        <v>0.23422453703703319</v>
      </c>
      <c r="F185" s="92">
        <f>($G$4/('Atsipirkimo vertinimas'!$N$18*12-'Atsipirkimo vertinimas'!$N$20)*H185)</f>
        <v>0.97222222222222221</v>
      </c>
      <c r="G185" s="92">
        <f t="shared" si="21"/>
        <v>57.361111111110169</v>
      </c>
      <c r="H185">
        <f>IF(C185-'Atsipirkimo vertinimas'!$N$20&lt;0,0,1)</f>
        <v>1</v>
      </c>
      <c r="I185" s="92"/>
      <c r="J185" s="92">
        <f t="shared" si="18"/>
        <v>0</v>
      </c>
      <c r="K185" s="92"/>
      <c r="L185" s="88"/>
      <c r="N185" s="88">
        <v>181</v>
      </c>
      <c r="O185" s="92">
        <f t="shared" si="19"/>
        <v>1.4910273929271436</v>
      </c>
      <c r="P185" s="92">
        <f>IF($Z$64&lt;S185+(S185*(('Atsipirkimo vertinimas'!$N$19)/12)),($Z$64*T185)+(Q185*U185),S185+(S185*(('Atsipirkimo vertinimas'!$N$19)/12)))</f>
        <v>1.4326940595938102</v>
      </c>
      <c r="Q185" s="92">
        <f>IF(T185=0,0,S185*('Atsipirkimo vertinimas'!$N$19)/12)</f>
        <v>0.3061771409218213</v>
      </c>
      <c r="R185" s="92">
        <f t="shared" si="22"/>
        <v>1.126516918671989</v>
      </c>
      <c r="S185" s="92">
        <f t="shared" si="23"/>
        <v>74.982156960446034</v>
      </c>
      <c r="T185">
        <f>IF(N185-'Atsipirkimo vertinimas'!$N$20&lt;0,0,1)</f>
        <v>1</v>
      </c>
      <c r="U185">
        <f>IF(N185-'Atsipirkimo vertinimas'!$N$20&gt;=0,0,1)</f>
        <v>0</v>
      </c>
      <c r="V185" s="92"/>
      <c r="W185" s="92"/>
      <c r="X185" s="88"/>
    </row>
    <row r="186" spans="3:24" x14ac:dyDescent="0.25">
      <c r="C186" s="88">
        <v>182</v>
      </c>
      <c r="D186" s="92">
        <f t="shared" si="17"/>
        <v>1.2608101851851814</v>
      </c>
      <c r="E186" s="92">
        <f>IF(H186=0,0,G186*('Atsipirkimo vertinimas'!$N$19)/12)</f>
        <v>0.23025462962962581</v>
      </c>
      <c r="F186" s="92">
        <f>($G$4/('Atsipirkimo vertinimas'!$N$18*12-'Atsipirkimo vertinimas'!$N$20)*H186)</f>
        <v>0.97222222222222221</v>
      </c>
      <c r="G186" s="92">
        <f t="shared" si="21"/>
        <v>56.388888888887948</v>
      </c>
      <c r="H186">
        <f>IF(C186-'Atsipirkimo vertinimas'!$N$20&lt;0,0,1)</f>
        <v>1</v>
      </c>
      <c r="I186" s="92"/>
      <c r="J186" s="92">
        <f t="shared" si="18"/>
        <v>0</v>
      </c>
      <c r="K186" s="92"/>
      <c r="L186" s="88"/>
      <c r="N186" s="88">
        <v>182</v>
      </c>
      <c r="O186" s="92">
        <f t="shared" si="19"/>
        <v>1.4910273929271436</v>
      </c>
      <c r="P186" s="92">
        <f>IF($Z$64&lt;S186+(S186*(('Atsipirkimo vertinimas'!$N$19)/12)),($Z$64*T186)+(Q186*U186),S186+(S186*(('Atsipirkimo vertinimas'!$N$19)/12)))</f>
        <v>1.4326940595938102</v>
      </c>
      <c r="Q186" s="92">
        <f>IF(T186=0,0,S186*('Atsipirkimo vertinimas'!$N$19)/12)</f>
        <v>0.30157719683724399</v>
      </c>
      <c r="R186" s="92">
        <f t="shared" si="22"/>
        <v>1.1311168627565662</v>
      </c>
      <c r="S186" s="92">
        <f t="shared" si="23"/>
        <v>73.855640041774038</v>
      </c>
      <c r="T186">
        <f>IF(N186-'Atsipirkimo vertinimas'!$N$20&lt;0,0,1)</f>
        <v>1</v>
      </c>
      <c r="U186">
        <f>IF(N186-'Atsipirkimo vertinimas'!$N$20&gt;=0,0,1)</f>
        <v>0</v>
      </c>
      <c r="V186" s="92"/>
      <c r="W186" s="92"/>
      <c r="X186" s="88"/>
    </row>
    <row r="187" spans="3:24" x14ac:dyDescent="0.25">
      <c r="C187" s="88">
        <v>183</v>
      </c>
      <c r="D187" s="92">
        <f t="shared" si="17"/>
        <v>1.2568402777777739</v>
      </c>
      <c r="E187" s="92">
        <f>IF(H187=0,0,G187*('Atsipirkimo vertinimas'!$N$19)/12)</f>
        <v>0.2262847222222184</v>
      </c>
      <c r="F187" s="92">
        <f>($G$4/('Atsipirkimo vertinimas'!$N$18*12-'Atsipirkimo vertinimas'!$N$20)*H187)</f>
        <v>0.97222222222222221</v>
      </c>
      <c r="G187" s="92">
        <f t="shared" si="21"/>
        <v>55.416666666665726</v>
      </c>
      <c r="H187">
        <f>IF(C187-'Atsipirkimo vertinimas'!$N$20&lt;0,0,1)</f>
        <v>1</v>
      </c>
      <c r="I187" s="92"/>
      <c r="J187" s="92">
        <f t="shared" si="18"/>
        <v>0</v>
      </c>
      <c r="K187" s="92"/>
      <c r="L187" s="88"/>
      <c r="N187" s="88">
        <v>183</v>
      </c>
      <c r="O187" s="92">
        <f t="shared" si="19"/>
        <v>1.4910273929271436</v>
      </c>
      <c r="P187" s="92">
        <f>IF($Z$64&lt;S187+(S187*(('Atsipirkimo vertinimas'!$N$19)/12)),($Z$64*T187)+(Q187*U187),S187+(S187*(('Atsipirkimo vertinimas'!$N$19)/12)))</f>
        <v>1.4326940595938102</v>
      </c>
      <c r="Q187" s="92">
        <f>IF(T187=0,0,S187*('Atsipirkimo vertinimas'!$N$19)/12)</f>
        <v>0.29695846964765465</v>
      </c>
      <c r="R187" s="92">
        <f t="shared" si="22"/>
        <v>1.1357355899461556</v>
      </c>
      <c r="S187" s="92">
        <f t="shared" si="23"/>
        <v>72.724523179017467</v>
      </c>
      <c r="T187">
        <f>IF(N187-'Atsipirkimo vertinimas'!$N$20&lt;0,0,1)</f>
        <v>1</v>
      </c>
      <c r="U187">
        <f>IF(N187-'Atsipirkimo vertinimas'!$N$20&gt;=0,0,1)</f>
        <v>0</v>
      </c>
      <c r="V187" s="92"/>
      <c r="W187" s="92"/>
      <c r="X187" s="88"/>
    </row>
    <row r="188" spans="3:24" x14ac:dyDescent="0.25">
      <c r="C188" s="88">
        <v>184</v>
      </c>
      <c r="D188" s="92">
        <f t="shared" si="17"/>
        <v>1.2528703703703665</v>
      </c>
      <c r="E188" s="92">
        <f>IF(H188=0,0,G188*('Atsipirkimo vertinimas'!$N$19)/12)</f>
        <v>0.222314814814811</v>
      </c>
      <c r="F188" s="92">
        <f>($G$4/('Atsipirkimo vertinimas'!$N$18*12-'Atsipirkimo vertinimas'!$N$20)*H188)</f>
        <v>0.97222222222222221</v>
      </c>
      <c r="G188" s="92">
        <f t="shared" si="21"/>
        <v>54.444444444443505</v>
      </c>
      <c r="H188">
        <f>IF(C188-'Atsipirkimo vertinimas'!$N$20&lt;0,0,1)</f>
        <v>1</v>
      </c>
      <c r="I188" s="92"/>
      <c r="J188" s="92">
        <f t="shared" si="18"/>
        <v>0</v>
      </c>
      <c r="K188" s="92"/>
      <c r="L188" s="88"/>
      <c r="N188" s="88">
        <v>184</v>
      </c>
      <c r="O188" s="92">
        <f t="shared" si="19"/>
        <v>1.4910273929271436</v>
      </c>
      <c r="P188" s="92">
        <f>IF($Z$64&lt;S188+(S188*(('Atsipirkimo vertinimas'!$N$19)/12)),($Z$64*T188)+(Q188*U188),S188+(S188*(('Atsipirkimo vertinimas'!$N$19)/12)))</f>
        <v>1.4326940595938102</v>
      </c>
      <c r="Q188" s="92">
        <f>IF(T188=0,0,S188*('Atsipirkimo vertinimas'!$N$19)/12)</f>
        <v>0.29232088265537454</v>
      </c>
      <c r="R188" s="92">
        <f t="shared" si="22"/>
        <v>1.1403731769384358</v>
      </c>
      <c r="S188" s="92">
        <f t="shared" si="23"/>
        <v>71.588787589071316</v>
      </c>
      <c r="T188">
        <f>IF(N188-'Atsipirkimo vertinimas'!$N$20&lt;0,0,1)</f>
        <v>1</v>
      </c>
      <c r="U188">
        <f>IF(N188-'Atsipirkimo vertinimas'!$N$20&gt;=0,0,1)</f>
        <v>0</v>
      </c>
      <c r="V188" s="92"/>
      <c r="W188" s="92"/>
      <c r="X188" s="88"/>
    </row>
    <row r="189" spans="3:24" x14ac:dyDescent="0.25">
      <c r="C189" s="88">
        <v>185</v>
      </c>
      <c r="D189" s="92">
        <f t="shared" si="17"/>
        <v>1.2489004629629592</v>
      </c>
      <c r="E189" s="92">
        <f>IF(H189=0,0,G189*('Atsipirkimo vertinimas'!$N$19)/12)</f>
        <v>0.21834490740740356</v>
      </c>
      <c r="F189" s="92">
        <f>($G$4/('Atsipirkimo vertinimas'!$N$18*12-'Atsipirkimo vertinimas'!$N$20)*H189)</f>
        <v>0.97222222222222221</v>
      </c>
      <c r="G189" s="92">
        <f t="shared" si="21"/>
        <v>53.472222222221284</v>
      </c>
      <c r="H189">
        <f>IF(C189-'Atsipirkimo vertinimas'!$N$20&lt;0,0,1)</f>
        <v>1</v>
      </c>
      <c r="I189" s="92"/>
      <c r="J189" s="92">
        <f t="shared" si="18"/>
        <v>0</v>
      </c>
      <c r="K189" s="92"/>
      <c r="L189" s="88"/>
      <c r="N189" s="88">
        <v>185</v>
      </c>
      <c r="O189" s="92">
        <f t="shared" si="19"/>
        <v>1.4910273929271436</v>
      </c>
      <c r="P189" s="92">
        <f>IF($Z$64&lt;S189+(S189*(('Atsipirkimo vertinimas'!$N$19)/12)),($Z$64*T189)+(Q189*U189),S189+(S189*(('Atsipirkimo vertinimas'!$N$19)/12)))</f>
        <v>1.4326940595938102</v>
      </c>
      <c r="Q189" s="92">
        <f>IF(T189=0,0,S189*('Atsipirkimo vertinimas'!$N$19)/12)</f>
        <v>0.28766435884954261</v>
      </c>
      <c r="R189" s="92">
        <f t="shared" si="22"/>
        <v>1.1450297007442676</v>
      </c>
      <c r="S189" s="92">
        <f t="shared" si="23"/>
        <v>70.448414412132877</v>
      </c>
      <c r="T189">
        <f>IF(N189-'Atsipirkimo vertinimas'!$N$20&lt;0,0,1)</f>
        <v>1</v>
      </c>
      <c r="U189">
        <f>IF(N189-'Atsipirkimo vertinimas'!$N$20&gt;=0,0,1)</f>
        <v>0</v>
      </c>
      <c r="V189" s="92"/>
      <c r="W189" s="92"/>
      <c r="X189" s="88"/>
    </row>
    <row r="190" spans="3:24" x14ac:dyDescent="0.25">
      <c r="C190" s="88">
        <v>186</v>
      </c>
      <c r="D190" s="92">
        <f t="shared" si="17"/>
        <v>1.2449305555555517</v>
      </c>
      <c r="E190" s="92">
        <f>IF(H190=0,0,G190*('Atsipirkimo vertinimas'!$N$19)/12)</f>
        <v>0.21437499999999618</v>
      </c>
      <c r="F190" s="92">
        <f>($G$4/('Atsipirkimo vertinimas'!$N$18*12-'Atsipirkimo vertinimas'!$N$20)*H190)</f>
        <v>0.97222222222222221</v>
      </c>
      <c r="G190" s="92">
        <f t="shared" si="21"/>
        <v>52.499999999999062</v>
      </c>
      <c r="H190">
        <f>IF(C190-'Atsipirkimo vertinimas'!$N$20&lt;0,0,1)</f>
        <v>1</v>
      </c>
      <c r="I190" s="92"/>
      <c r="J190" s="92">
        <f t="shared" si="18"/>
        <v>0</v>
      </c>
      <c r="K190" s="92"/>
      <c r="L190" s="88"/>
      <c r="N190" s="88">
        <v>186</v>
      </c>
      <c r="O190" s="92">
        <f t="shared" si="19"/>
        <v>1.4910273929271436</v>
      </c>
      <c r="P190" s="92">
        <f>IF($Z$64&lt;S190+(S190*(('Atsipirkimo vertinimas'!$N$19)/12)),($Z$64*T190)+(Q190*U190),S190+(S190*(('Atsipirkimo vertinimas'!$N$19)/12)))</f>
        <v>1.4326940595938102</v>
      </c>
      <c r="Q190" s="92">
        <f>IF(T190=0,0,S190*('Atsipirkimo vertinimas'!$N$19)/12)</f>
        <v>0.28298882090483679</v>
      </c>
      <c r="R190" s="92">
        <f t="shared" si="22"/>
        <v>1.1497052386889735</v>
      </c>
      <c r="S190" s="92">
        <f t="shared" si="23"/>
        <v>69.303384711388603</v>
      </c>
      <c r="T190">
        <f>IF(N190-'Atsipirkimo vertinimas'!$N$20&lt;0,0,1)</f>
        <v>1</v>
      </c>
      <c r="U190">
        <f>IF(N190-'Atsipirkimo vertinimas'!$N$20&gt;=0,0,1)</f>
        <v>0</v>
      </c>
      <c r="V190" s="92"/>
      <c r="W190" s="92"/>
      <c r="X190" s="88"/>
    </row>
    <row r="191" spans="3:24" x14ac:dyDescent="0.25">
      <c r="C191" s="88">
        <v>187</v>
      </c>
      <c r="D191" s="92">
        <f t="shared" si="17"/>
        <v>1.2409606481481443</v>
      </c>
      <c r="E191" s="92">
        <f>IF(H191=0,0,G191*('Atsipirkimo vertinimas'!$N$19)/12)</f>
        <v>0.21040509259258877</v>
      </c>
      <c r="F191" s="92">
        <f>($G$4/('Atsipirkimo vertinimas'!$N$18*12-'Atsipirkimo vertinimas'!$N$20)*H191)</f>
        <v>0.97222222222222221</v>
      </c>
      <c r="G191" s="92">
        <f t="shared" si="21"/>
        <v>51.527777777776841</v>
      </c>
      <c r="H191">
        <f>IF(C191-'Atsipirkimo vertinimas'!$N$20&lt;0,0,1)</f>
        <v>1</v>
      </c>
      <c r="I191" s="92"/>
      <c r="J191" s="92">
        <f t="shared" si="18"/>
        <v>0</v>
      </c>
      <c r="K191" s="92"/>
      <c r="L191" s="88"/>
      <c r="N191" s="88">
        <v>187</v>
      </c>
      <c r="O191" s="92">
        <f t="shared" si="19"/>
        <v>1.4910273929271436</v>
      </c>
      <c r="P191" s="92">
        <f>IF($Z$64&lt;S191+(S191*(('Atsipirkimo vertinimas'!$N$19)/12)),($Z$64*T191)+(Q191*U191),S191+(S191*(('Atsipirkimo vertinimas'!$N$19)/12)))</f>
        <v>1.4326940595938102</v>
      </c>
      <c r="Q191" s="92">
        <f>IF(T191=0,0,S191*('Atsipirkimo vertinimas'!$N$19)/12)</f>
        <v>0.27829419118019011</v>
      </c>
      <c r="R191" s="92">
        <f t="shared" si="22"/>
        <v>1.1543998684136201</v>
      </c>
      <c r="S191" s="92">
        <f t="shared" si="23"/>
        <v>68.153679472699622</v>
      </c>
      <c r="T191">
        <f>IF(N191-'Atsipirkimo vertinimas'!$N$20&lt;0,0,1)</f>
        <v>1</v>
      </c>
      <c r="U191">
        <f>IF(N191-'Atsipirkimo vertinimas'!$N$20&gt;=0,0,1)</f>
        <v>0</v>
      </c>
      <c r="V191" s="92"/>
      <c r="W191" s="92"/>
      <c r="X191" s="88"/>
    </row>
    <row r="192" spans="3:24" x14ac:dyDescent="0.25">
      <c r="C192" s="88">
        <v>188</v>
      </c>
      <c r="D192" s="92">
        <f t="shared" si="17"/>
        <v>1.236990740740737</v>
      </c>
      <c r="E192" s="92">
        <f>IF(H192=0,0,G192*('Atsipirkimo vertinimas'!$N$19)/12)</f>
        <v>0.20643518518518136</v>
      </c>
      <c r="F192" s="92">
        <f>($G$4/('Atsipirkimo vertinimas'!$N$18*12-'Atsipirkimo vertinimas'!$N$20)*H192)</f>
        <v>0.97222222222222221</v>
      </c>
      <c r="G192" s="92">
        <f t="shared" si="21"/>
        <v>50.555555555554619</v>
      </c>
      <c r="H192">
        <f>IF(C192-'Atsipirkimo vertinimas'!$N$20&lt;0,0,1)</f>
        <v>1</v>
      </c>
      <c r="I192" s="92"/>
      <c r="J192" s="92">
        <f t="shared" si="18"/>
        <v>0</v>
      </c>
      <c r="K192" s="92"/>
      <c r="L192" s="88"/>
      <c r="N192" s="88">
        <v>188</v>
      </c>
      <c r="O192" s="92">
        <f t="shared" si="19"/>
        <v>1.4910273929271436</v>
      </c>
      <c r="P192" s="92">
        <f>IF($Z$64&lt;S192+(S192*(('Atsipirkimo vertinimas'!$N$19)/12)),($Z$64*T192)+(Q192*U192),S192+(S192*(('Atsipirkimo vertinimas'!$N$19)/12)))</f>
        <v>1.4326940595938102</v>
      </c>
      <c r="Q192" s="92">
        <f>IF(T192=0,0,S192*('Atsipirkimo vertinimas'!$N$19)/12)</f>
        <v>0.2735803917175012</v>
      </c>
      <c r="R192" s="92">
        <f t="shared" si="22"/>
        <v>1.159113667876309</v>
      </c>
      <c r="S192" s="92">
        <f t="shared" si="23"/>
        <v>66.999279604286002</v>
      </c>
      <c r="T192">
        <f>IF(N192-'Atsipirkimo vertinimas'!$N$20&lt;0,0,1)</f>
        <v>1</v>
      </c>
      <c r="U192">
        <f>IF(N192-'Atsipirkimo vertinimas'!$N$20&gt;=0,0,1)</f>
        <v>0</v>
      </c>
      <c r="V192" s="92"/>
      <c r="W192" s="92"/>
      <c r="X192" s="88"/>
    </row>
    <row r="193" spans="3:24" x14ac:dyDescent="0.25">
      <c r="C193" s="88">
        <v>189</v>
      </c>
      <c r="D193" s="92">
        <f t="shared" si="17"/>
        <v>1.2330208333333295</v>
      </c>
      <c r="E193" s="92">
        <f>IF(H193=0,0,G193*('Atsipirkimo vertinimas'!$N$19)/12)</f>
        <v>0.20246527777777398</v>
      </c>
      <c r="F193" s="92">
        <f>($G$4/('Atsipirkimo vertinimas'!$N$18*12-'Atsipirkimo vertinimas'!$N$20)*H193)</f>
        <v>0.97222222222222221</v>
      </c>
      <c r="G193" s="92">
        <f t="shared" si="21"/>
        <v>49.583333333332398</v>
      </c>
      <c r="H193">
        <f>IF(C193-'Atsipirkimo vertinimas'!$N$20&lt;0,0,1)</f>
        <v>1</v>
      </c>
      <c r="I193" s="92"/>
      <c r="J193" s="92">
        <f t="shared" si="18"/>
        <v>0</v>
      </c>
      <c r="K193" s="92"/>
      <c r="L193" s="88"/>
      <c r="N193" s="88">
        <v>189</v>
      </c>
      <c r="O193" s="92">
        <f t="shared" si="19"/>
        <v>1.4910273929271436</v>
      </c>
      <c r="P193" s="92">
        <f>IF($Z$64&lt;S193+(S193*(('Atsipirkimo vertinimas'!$N$19)/12)),($Z$64*T193)+(Q193*U193),S193+(S193*(('Atsipirkimo vertinimas'!$N$19)/12)))</f>
        <v>1.4326940595938102</v>
      </c>
      <c r="Q193" s="92">
        <f>IF(T193=0,0,S193*('Atsipirkimo vertinimas'!$N$19)/12)</f>
        <v>0.26884734424033957</v>
      </c>
      <c r="R193" s="92">
        <f t="shared" si="22"/>
        <v>1.1638467153534706</v>
      </c>
      <c r="S193" s="92">
        <f t="shared" si="23"/>
        <v>65.84016593640969</v>
      </c>
      <c r="T193">
        <f>IF(N193-'Atsipirkimo vertinimas'!$N$20&lt;0,0,1)</f>
        <v>1</v>
      </c>
      <c r="U193">
        <f>IF(N193-'Atsipirkimo vertinimas'!$N$20&gt;=0,0,1)</f>
        <v>0</v>
      </c>
      <c r="V193" s="92"/>
      <c r="W193" s="92"/>
      <c r="X193" s="88"/>
    </row>
    <row r="194" spans="3:24" x14ac:dyDescent="0.25">
      <c r="C194" s="88">
        <v>190</v>
      </c>
      <c r="D194" s="92">
        <f t="shared" si="17"/>
        <v>1.2290509259259221</v>
      </c>
      <c r="E194" s="92">
        <f>IF(H194=0,0,G194*('Atsipirkimo vertinimas'!$N$19)/12)</f>
        <v>0.19849537037036658</v>
      </c>
      <c r="F194" s="92">
        <f>($G$4/('Atsipirkimo vertinimas'!$N$18*12-'Atsipirkimo vertinimas'!$N$20)*H194)</f>
        <v>0.97222222222222221</v>
      </c>
      <c r="G194" s="92">
        <f t="shared" si="21"/>
        <v>48.611111111110176</v>
      </c>
      <c r="H194">
        <f>IF(C194-'Atsipirkimo vertinimas'!$N$20&lt;0,0,1)</f>
        <v>1</v>
      </c>
      <c r="I194" s="92"/>
      <c r="J194" s="92">
        <f t="shared" si="18"/>
        <v>0</v>
      </c>
      <c r="K194" s="92"/>
      <c r="L194" s="88"/>
      <c r="N194" s="88">
        <v>190</v>
      </c>
      <c r="O194" s="92">
        <f t="shared" si="19"/>
        <v>1.4910273929271436</v>
      </c>
      <c r="P194" s="92">
        <f>IF($Z$64&lt;S194+(S194*(('Atsipirkimo vertinimas'!$N$19)/12)),($Z$64*T194)+(Q194*U194),S194+(S194*(('Atsipirkimo vertinimas'!$N$19)/12)))</f>
        <v>1.4326940595938102</v>
      </c>
      <c r="Q194" s="92">
        <f>IF(T194=0,0,S194*('Atsipirkimo vertinimas'!$N$19)/12)</f>
        <v>0.26409497015264621</v>
      </c>
      <c r="R194" s="92">
        <f t="shared" si="22"/>
        <v>1.168599089441164</v>
      </c>
      <c r="S194" s="92">
        <f t="shared" si="23"/>
        <v>64.676319221056218</v>
      </c>
      <c r="T194">
        <f>IF(N194-'Atsipirkimo vertinimas'!$N$20&lt;0,0,1)</f>
        <v>1</v>
      </c>
      <c r="U194">
        <f>IF(N194-'Atsipirkimo vertinimas'!$N$20&gt;=0,0,1)</f>
        <v>0</v>
      </c>
      <c r="V194" s="92"/>
      <c r="W194" s="92"/>
      <c r="X194" s="88"/>
    </row>
    <row r="195" spans="3:24" x14ac:dyDescent="0.25">
      <c r="C195" s="88">
        <v>191</v>
      </c>
      <c r="D195" s="92">
        <f t="shared" si="17"/>
        <v>1.2250810185185148</v>
      </c>
      <c r="E195" s="92">
        <f>IF(H195=0,0,G195*('Atsipirkimo vertinimas'!$N$19)/12)</f>
        <v>0.19452546296295914</v>
      </c>
      <c r="F195" s="92">
        <f>($G$4/('Atsipirkimo vertinimas'!$N$18*12-'Atsipirkimo vertinimas'!$N$20)*H195)</f>
        <v>0.97222222222222221</v>
      </c>
      <c r="G195" s="92">
        <f t="shared" si="21"/>
        <v>47.638888888887955</v>
      </c>
      <c r="H195">
        <f>IF(C195-'Atsipirkimo vertinimas'!$N$20&lt;0,0,1)</f>
        <v>1</v>
      </c>
      <c r="I195" s="92"/>
      <c r="J195" s="92">
        <f t="shared" si="18"/>
        <v>0</v>
      </c>
      <c r="K195" s="92"/>
      <c r="L195" s="91">
        <f>IF('Atsipirkimo vertinimas'!$N$18*12&gt;Grafikas!C195,SUM(D184:D195),0)</f>
        <v>14.962986111111064</v>
      </c>
      <c r="N195" s="88">
        <v>191</v>
      </c>
      <c r="O195" s="92">
        <f t="shared" si="19"/>
        <v>1.4910273929271436</v>
      </c>
      <c r="P195" s="92">
        <f>IF($Z$64&lt;S195+(S195*(('Atsipirkimo vertinimas'!$N$19)/12)),($Z$64*T195)+(Q195*U195),S195+(S195*(('Atsipirkimo vertinimas'!$N$19)/12)))</f>
        <v>1.4326940595938102</v>
      </c>
      <c r="Q195" s="92">
        <f>IF(T195=0,0,S195*('Atsipirkimo vertinimas'!$N$19)/12)</f>
        <v>0.25932319053742814</v>
      </c>
      <c r="R195" s="92">
        <f t="shared" si="22"/>
        <v>1.1733708690563822</v>
      </c>
      <c r="S195" s="92">
        <f t="shared" si="23"/>
        <v>63.507720131615052</v>
      </c>
      <c r="T195">
        <f>IF(N195-'Atsipirkimo vertinimas'!$N$20&lt;0,0,1)</f>
        <v>1</v>
      </c>
      <c r="U195">
        <f>IF(N195-'Atsipirkimo vertinimas'!$N$20&gt;=0,0,1)</f>
        <v>0</v>
      </c>
      <c r="V195" s="92"/>
      <c r="W195" s="92"/>
      <c r="X195" s="91">
        <f>IF('Atsipirkimo vertinimas'!$N$18*12&gt;Grafikas!C195,SUM(O184:O195),0)</f>
        <v>17.892328715125725</v>
      </c>
    </row>
    <row r="196" spans="3:24" x14ac:dyDescent="0.25">
      <c r="C196" s="88">
        <v>192</v>
      </c>
      <c r="D196" s="92">
        <f t="shared" si="17"/>
        <v>1.2211111111111073</v>
      </c>
      <c r="E196" s="92">
        <f>IF(H196=0,0,G196*('Atsipirkimo vertinimas'!$N$19)/12)</f>
        <v>0.19055555555555173</v>
      </c>
      <c r="F196" s="92">
        <f>($G$4/('Atsipirkimo vertinimas'!$N$18*12-'Atsipirkimo vertinimas'!$N$20)*H196)</f>
        <v>0.97222222222222221</v>
      </c>
      <c r="G196" s="92">
        <f t="shared" si="21"/>
        <v>46.666666666665733</v>
      </c>
      <c r="H196">
        <f>IF(C196-'Atsipirkimo vertinimas'!$N$20&lt;0,0,1)</f>
        <v>1</v>
      </c>
      <c r="I196" s="92"/>
      <c r="J196" s="92">
        <f t="shared" si="18"/>
        <v>0</v>
      </c>
      <c r="K196" s="92"/>
      <c r="L196" s="88"/>
      <c r="N196" s="88">
        <v>192</v>
      </c>
      <c r="O196" s="92">
        <f t="shared" si="19"/>
        <v>1.4910273929271436</v>
      </c>
      <c r="P196" s="92">
        <f>IF($Z$64&lt;S196+(S196*(('Atsipirkimo vertinimas'!$N$19)/12)),($Z$64*T196)+(Q196*U196),S196+(S196*(('Atsipirkimo vertinimas'!$N$19)/12)))</f>
        <v>1.4326940595938102</v>
      </c>
      <c r="Q196" s="92">
        <f>IF(T196=0,0,S196*('Atsipirkimo vertinimas'!$N$19)/12)</f>
        <v>0.2545319261554479</v>
      </c>
      <c r="R196" s="92">
        <f t="shared" si="22"/>
        <v>1.1781621334383623</v>
      </c>
      <c r="S196" s="92">
        <f t="shared" si="23"/>
        <v>62.334349262558668</v>
      </c>
      <c r="T196">
        <f>IF(N196-'Atsipirkimo vertinimas'!$N$20&lt;0,0,1)</f>
        <v>1</v>
      </c>
      <c r="U196">
        <f>IF(N196-'Atsipirkimo vertinimas'!$N$20&gt;=0,0,1)</f>
        <v>0</v>
      </c>
      <c r="V196" s="92"/>
      <c r="W196" s="92"/>
      <c r="X196" s="88"/>
    </row>
    <row r="197" spans="3:24" x14ac:dyDescent="0.25">
      <c r="C197" s="88">
        <v>193</v>
      </c>
      <c r="D197" s="92">
        <f t="shared" ref="D197:D260" si="24">IF(H197=0,E197+F197,E197+F197+$K$4)</f>
        <v>1.2171412037036999</v>
      </c>
      <c r="E197" s="92">
        <f>IF(H197=0,0,G197*('Atsipirkimo vertinimas'!$N$19)/12)</f>
        <v>0.18658564814814435</v>
      </c>
      <c r="F197" s="92">
        <f>($G$4/('Atsipirkimo vertinimas'!$N$18*12-'Atsipirkimo vertinimas'!$N$20)*H197)</f>
        <v>0.97222222222222221</v>
      </c>
      <c r="G197" s="92">
        <f t="shared" si="21"/>
        <v>45.694444444443512</v>
      </c>
      <c r="H197">
        <f>IF(C197-'Atsipirkimo vertinimas'!$N$20&lt;0,0,1)</f>
        <v>1</v>
      </c>
      <c r="I197" s="92"/>
      <c r="J197" s="92">
        <f t="shared" ref="J197:J260" si="25">IF(H197=0,G197*(0.03)/12,0)</f>
        <v>0</v>
      </c>
      <c r="K197" s="92"/>
      <c r="L197" s="88"/>
      <c r="N197" s="88">
        <v>193</v>
      </c>
      <c r="O197" s="92">
        <f t="shared" ref="O197:O260" si="26">IF(T197=0,0,($X$4+P197))</f>
        <v>1.4910273929271436</v>
      </c>
      <c r="P197" s="92">
        <f>IF($Z$64&lt;S197+(S197*(('Atsipirkimo vertinimas'!$N$19)/12)),($Z$64*T197)+(Q197*U197),S197+(S197*(('Atsipirkimo vertinimas'!$N$19)/12)))</f>
        <v>1.4326940595938102</v>
      </c>
      <c r="Q197" s="92">
        <f>IF(T197=0,0,S197*('Atsipirkimo vertinimas'!$N$19)/12)</f>
        <v>0.24972109744390791</v>
      </c>
      <c r="R197" s="92">
        <f t="shared" si="22"/>
        <v>1.1829729621499023</v>
      </c>
      <c r="S197" s="92">
        <f t="shared" si="23"/>
        <v>61.156187129120305</v>
      </c>
      <c r="T197">
        <f>IF(N197-'Atsipirkimo vertinimas'!$N$20&lt;0,0,1)</f>
        <v>1</v>
      </c>
      <c r="U197">
        <f>IF(N197-'Atsipirkimo vertinimas'!$N$20&gt;=0,0,1)</f>
        <v>0</v>
      </c>
      <c r="V197" s="92"/>
      <c r="W197" s="92"/>
      <c r="X197" s="88"/>
    </row>
    <row r="198" spans="3:24" x14ac:dyDescent="0.25">
      <c r="C198" s="88">
        <v>194</v>
      </c>
      <c r="D198" s="92">
        <f t="shared" si="24"/>
        <v>1.2131712962962926</v>
      </c>
      <c r="E198" s="92">
        <f>IF(H198=0,0,G198*('Atsipirkimo vertinimas'!$N$19)/12)</f>
        <v>0.18261574074073694</v>
      </c>
      <c r="F198" s="92">
        <f>($G$4/('Atsipirkimo vertinimas'!$N$18*12-'Atsipirkimo vertinimas'!$N$20)*H198)</f>
        <v>0.97222222222222221</v>
      </c>
      <c r="G198" s="92">
        <f t="shared" ref="G198:G261" si="27">(G197-F197)</f>
        <v>44.722222222221291</v>
      </c>
      <c r="H198">
        <f>IF(C198-'Atsipirkimo vertinimas'!$N$20&lt;0,0,1)</f>
        <v>1</v>
      </c>
      <c r="I198" s="92"/>
      <c r="J198" s="92">
        <f t="shared" si="25"/>
        <v>0</v>
      </c>
      <c r="K198" s="92"/>
      <c r="L198" s="88"/>
      <c r="N198" s="88">
        <v>194</v>
      </c>
      <c r="O198" s="92">
        <f t="shared" si="26"/>
        <v>1.4910273929271436</v>
      </c>
      <c r="P198" s="92">
        <f>IF($Z$64&lt;S198+(S198*(('Atsipirkimo vertinimas'!$N$19)/12)),($Z$64*T198)+(Q198*U198),S198+(S198*(('Atsipirkimo vertinimas'!$N$19)/12)))</f>
        <v>1.4326940595938102</v>
      </c>
      <c r="Q198" s="92">
        <f>IF(T198=0,0,S198*('Atsipirkimo vertinimas'!$N$19)/12)</f>
        <v>0.24489062451512913</v>
      </c>
      <c r="R198" s="92">
        <f t="shared" ref="R198:R261" si="28">(P198-Q198)*T198</f>
        <v>1.187803435078681</v>
      </c>
      <c r="S198" s="92">
        <f t="shared" ref="S198:S261" si="29">(S197-R197)</f>
        <v>59.973214166970401</v>
      </c>
      <c r="T198">
        <f>IF(N198-'Atsipirkimo vertinimas'!$N$20&lt;0,0,1)</f>
        <v>1</v>
      </c>
      <c r="U198">
        <f>IF(N198-'Atsipirkimo vertinimas'!$N$20&gt;=0,0,1)</f>
        <v>0</v>
      </c>
      <c r="V198" s="92"/>
      <c r="W198" s="92"/>
      <c r="X198" s="88"/>
    </row>
    <row r="199" spans="3:24" x14ac:dyDescent="0.25">
      <c r="C199" s="88">
        <v>195</v>
      </c>
      <c r="D199" s="92">
        <f t="shared" si="24"/>
        <v>1.2092013888888851</v>
      </c>
      <c r="E199" s="92">
        <f>IF(H199=0,0,G199*('Atsipirkimo vertinimas'!$N$19)/12)</f>
        <v>0.17864583333332953</v>
      </c>
      <c r="F199" s="92">
        <f>($G$4/('Atsipirkimo vertinimas'!$N$18*12-'Atsipirkimo vertinimas'!$N$20)*H199)</f>
        <v>0.97222222222222221</v>
      </c>
      <c r="G199" s="92">
        <f t="shared" si="27"/>
        <v>43.749999999999069</v>
      </c>
      <c r="H199">
        <f>IF(C199-'Atsipirkimo vertinimas'!$N$20&lt;0,0,1)</f>
        <v>1</v>
      </c>
      <c r="I199" s="92"/>
      <c r="J199" s="92">
        <f t="shared" si="25"/>
        <v>0</v>
      </c>
      <c r="K199" s="92"/>
      <c r="L199" s="88"/>
      <c r="N199" s="88">
        <v>195</v>
      </c>
      <c r="O199" s="92">
        <f t="shared" si="26"/>
        <v>1.4910273929271436</v>
      </c>
      <c r="P199" s="92">
        <f>IF($Z$64&lt;S199+(S199*(('Atsipirkimo vertinimas'!$N$19)/12)),($Z$64*T199)+(Q199*U199),S199+(S199*(('Atsipirkimo vertinimas'!$N$19)/12)))</f>
        <v>1.4326940595938102</v>
      </c>
      <c r="Q199" s="92">
        <f>IF(T199=0,0,S199*('Atsipirkimo vertinimas'!$N$19)/12)</f>
        <v>0.24004042715522456</v>
      </c>
      <c r="R199" s="92">
        <f t="shared" si="28"/>
        <v>1.1926536324385857</v>
      </c>
      <c r="S199" s="92">
        <f t="shared" si="29"/>
        <v>58.785410731891723</v>
      </c>
      <c r="T199">
        <f>IF(N199-'Atsipirkimo vertinimas'!$N$20&lt;0,0,1)</f>
        <v>1</v>
      </c>
      <c r="U199">
        <f>IF(N199-'Atsipirkimo vertinimas'!$N$20&gt;=0,0,1)</f>
        <v>0</v>
      </c>
      <c r="V199" s="92"/>
      <c r="W199" s="92"/>
      <c r="X199" s="88"/>
    </row>
    <row r="200" spans="3:24" x14ac:dyDescent="0.25">
      <c r="C200" s="88">
        <v>196</v>
      </c>
      <c r="D200" s="92">
        <f t="shared" si="24"/>
        <v>1.2052314814814777</v>
      </c>
      <c r="E200" s="92">
        <f>IF(H200=0,0,G200*('Atsipirkimo vertinimas'!$N$19)/12)</f>
        <v>0.17467592592592215</v>
      </c>
      <c r="F200" s="92">
        <f>($G$4/('Atsipirkimo vertinimas'!$N$18*12-'Atsipirkimo vertinimas'!$N$20)*H200)</f>
        <v>0.97222222222222221</v>
      </c>
      <c r="G200" s="92">
        <f t="shared" si="27"/>
        <v>42.777777777776848</v>
      </c>
      <c r="H200">
        <f>IF(C200-'Atsipirkimo vertinimas'!$N$20&lt;0,0,1)</f>
        <v>1</v>
      </c>
      <c r="I200" s="92"/>
      <c r="J200" s="92">
        <f t="shared" si="25"/>
        <v>0</v>
      </c>
      <c r="K200" s="92"/>
      <c r="L200" s="88"/>
      <c r="N200" s="88">
        <v>196</v>
      </c>
      <c r="O200" s="92">
        <f t="shared" si="26"/>
        <v>1.4910273929271436</v>
      </c>
      <c r="P200" s="92">
        <f>IF($Z$64&lt;S200+(S200*(('Atsipirkimo vertinimas'!$N$19)/12)),($Z$64*T200)+(Q200*U200),S200+(S200*(('Atsipirkimo vertinimas'!$N$19)/12)))</f>
        <v>1.4326940595938102</v>
      </c>
      <c r="Q200" s="92">
        <f>IF(T200=0,0,S200*('Atsipirkimo vertinimas'!$N$19)/12)</f>
        <v>0.23517042482276698</v>
      </c>
      <c r="R200" s="92">
        <f t="shared" si="28"/>
        <v>1.1975236347710432</v>
      </c>
      <c r="S200" s="92">
        <f t="shared" si="29"/>
        <v>57.592757099453138</v>
      </c>
      <c r="T200">
        <f>IF(N200-'Atsipirkimo vertinimas'!$N$20&lt;0,0,1)</f>
        <v>1</v>
      </c>
      <c r="U200">
        <f>IF(N200-'Atsipirkimo vertinimas'!$N$20&gt;=0,0,1)</f>
        <v>0</v>
      </c>
      <c r="V200" s="92"/>
      <c r="W200" s="92"/>
      <c r="X200" s="88"/>
    </row>
    <row r="201" spans="3:24" x14ac:dyDescent="0.25">
      <c r="C201" s="88">
        <v>197</v>
      </c>
      <c r="D201" s="92">
        <f t="shared" si="24"/>
        <v>1.2012615740740704</v>
      </c>
      <c r="E201" s="92">
        <f>IF(H201=0,0,G201*('Atsipirkimo vertinimas'!$N$19)/12)</f>
        <v>0.17070601851851475</v>
      </c>
      <c r="F201" s="92">
        <f>($G$4/('Atsipirkimo vertinimas'!$N$18*12-'Atsipirkimo vertinimas'!$N$20)*H201)</f>
        <v>0.97222222222222221</v>
      </c>
      <c r="G201" s="92">
        <f t="shared" si="27"/>
        <v>41.805555555554626</v>
      </c>
      <c r="H201">
        <f>IF(C201-'Atsipirkimo vertinimas'!$N$20&lt;0,0,1)</f>
        <v>1</v>
      </c>
      <c r="I201" s="92"/>
      <c r="J201" s="92">
        <f t="shared" si="25"/>
        <v>0</v>
      </c>
      <c r="K201" s="92"/>
      <c r="L201" s="88"/>
      <c r="N201" s="88">
        <v>197</v>
      </c>
      <c r="O201" s="92">
        <f t="shared" si="26"/>
        <v>1.4910273929271436</v>
      </c>
      <c r="P201" s="92">
        <f>IF($Z$64&lt;S201+(S201*(('Atsipirkimo vertinimas'!$N$19)/12)),($Z$64*T201)+(Q201*U201),S201+(S201*(('Atsipirkimo vertinimas'!$N$19)/12)))</f>
        <v>1.4326940595938102</v>
      </c>
      <c r="Q201" s="92">
        <f>IF(T201=0,0,S201*('Atsipirkimo vertinimas'!$N$19)/12)</f>
        <v>0.23028053664745188</v>
      </c>
      <c r="R201" s="92">
        <f t="shared" si="28"/>
        <v>1.2024135229463584</v>
      </c>
      <c r="S201" s="92">
        <f t="shared" si="29"/>
        <v>56.395233464682093</v>
      </c>
      <c r="T201">
        <f>IF(N201-'Atsipirkimo vertinimas'!$N$20&lt;0,0,1)</f>
        <v>1</v>
      </c>
      <c r="U201">
        <f>IF(N201-'Atsipirkimo vertinimas'!$N$20&gt;=0,0,1)</f>
        <v>0</v>
      </c>
      <c r="V201" s="92"/>
      <c r="W201" s="92"/>
      <c r="X201" s="88"/>
    </row>
    <row r="202" spans="3:24" x14ac:dyDescent="0.25">
      <c r="C202" s="88">
        <v>198</v>
      </c>
      <c r="D202" s="92">
        <f t="shared" si="24"/>
        <v>1.1972916666666629</v>
      </c>
      <c r="E202" s="92">
        <f>IF(H202=0,0,G202*('Atsipirkimo vertinimas'!$N$19)/12)</f>
        <v>0.16673611111110731</v>
      </c>
      <c r="F202" s="92">
        <f>($G$4/('Atsipirkimo vertinimas'!$N$18*12-'Atsipirkimo vertinimas'!$N$20)*H202)</f>
        <v>0.97222222222222221</v>
      </c>
      <c r="G202" s="92">
        <f t="shared" si="27"/>
        <v>40.833333333332405</v>
      </c>
      <c r="H202">
        <f>IF(C202-'Atsipirkimo vertinimas'!$N$20&lt;0,0,1)</f>
        <v>1</v>
      </c>
      <c r="I202" s="92"/>
      <c r="J202" s="92">
        <f t="shared" si="25"/>
        <v>0</v>
      </c>
      <c r="K202" s="92"/>
      <c r="L202" s="88"/>
      <c r="N202" s="88">
        <v>198</v>
      </c>
      <c r="O202" s="92">
        <f t="shared" si="26"/>
        <v>1.4910273929271436</v>
      </c>
      <c r="P202" s="92">
        <f>IF($Z$64&lt;S202+(S202*(('Atsipirkimo vertinimas'!$N$19)/12)),($Z$64*T202)+(Q202*U202),S202+(S202*(('Atsipirkimo vertinimas'!$N$19)/12)))</f>
        <v>1.4326940595938102</v>
      </c>
      <c r="Q202" s="92">
        <f>IF(T202=0,0,S202*('Atsipirkimo vertinimas'!$N$19)/12)</f>
        <v>0.22537068142875427</v>
      </c>
      <c r="R202" s="92">
        <f t="shared" si="28"/>
        <v>1.2073233781650559</v>
      </c>
      <c r="S202" s="92">
        <f t="shared" si="29"/>
        <v>55.192819941735735</v>
      </c>
      <c r="T202">
        <f>IF(N202-'Atsipirkimo vertinimas'!$N$20&lt;0,0,1)</f>
        <v>1</v>
      </c>
      <c r="U202">
        <f>IF(N202-'Atsipirkimo vertinimas'!$N$20&gt;=0,0,1)</f>
        <v>0</v>
      </c>
      <c r="V202" s="92"/>
      <c r="W202" s="92"/>
      <c r="X202" s="88"/>
    </row>
    <row r="203" spans="3:24" x14ac:dyDescent="0.25">
      <c r="C203" s="88">
        <v>199</v>
      </c>
      <c r="D203" s="92">
        <f t="shared" si="24"/>
        <v>1.1933217592592555</v>
      </c>
      <c r="E203" s="92">
        <f>IF(H203=0,0,G203*('Atsipirkimo vertinimas'!$N$19)/12)</f>
        <v>0.16276620370369993</v>
      </c>
      <c r="F203" s="92">
        <f>($G$4/('Atsipirkimo vertinimas'!$N$18*12-'Atsipirkimo vertinimas'!$N$20)*H203)</f>
        <v>0.97222222222222221</v>
      </c>
      <c r="G203" s="92">
        <f t="shared" si="27"/>
        <v>39.861111111110183</v>
      </c>
      <c r="H203">
        <f>IF(C203-'Atsipirkimo vertinimas'!$N$20&lt;0,0,1)</f>
        <v>1</v>
      </c>
      <c r="I203" s="92"/>
      <c r="J203" s="92">
        <f t="shared" si="25"/>
        <v>0</v>
      </c>
      <c r="K203" s="92"/>
      <c r="L203" s="88"/>
      <c r="N203" s="88">
        <v>199</v>
      </c>
      <c r="O203" s="92">
        <f t="shared" si="26"/>
        <v>1.4910273929271436</v>
      </c>
      <c r="P203" s="92">
        <f>IF($Z$64&lt;S203+(S203*(('Atsipirkimo vertinimas'!$N$19)/12)),($Z$64*T203)+(Q203*U203),S203+(S203*(('Atsipirkimo vertinimas'!$N$19)/12)))</f>
        <v>1.4326940595938102</v>
      </c>
      <c r="Q203" s="92">
        <f>IF(T203=0,0,S203*('Atsipirkimo vertinimas'!$N$19)/12)</f>
        <v>0.22044077763458028</v>
      </c>
      <c r="R203" s="92">
        <f t="shared" si="28"/>
        <v>1.21225328195923</v>
      </c>
      <c r="S203" s="92">
        <f t="shared" si="29"/>
        <v>53.985496563570678</v>
      </c>
      <c r="T203">
        <f>IF(N203-'Atsipirkimo vertinimas'!$N$20&lt;0,0,1)</f>
        <v>1</v>
      </c>
      <c r="U203">
        <f>IF(N203-'Atsipirkimo vertinimas'!$N$20&gt;=0,0,1)</f>
        <v>0</v>
      </c>
      <c r="V203" s="92"/>
      <c r="W203" s="92"/>
      <c r="X203" s="88"/>
    </row>
    <row r="204" spans="3:24" x14ac:dyDescent="0.25">
      <c r="C204" s="88">
        <v>200</v>
      </c>
      <c r="D204" s="92">
        <f t="shared" si="24"/>
        <v>1.189351851851848</v>
      </c>
      <c r="E204" s="92">
        <f>IF(H204=0,0,G204*('Atsipirkimo vertinimas'!$N$19)/12)</f>
        <v>0.15879629629629252</v>
      </c>
      <c r="F204" s="92">
        <f>($G$4/('Atsipirkimo vertinimas'!$N$18*12-'Atsipirkimo vertinimas'!$N$20)*H204)</f>
        <v>0.97222222222222221</v>
      </c>
      <c r="G204" s="92">
        <f t="shared" si="27"/>
        <v>38.888888888887962</v>
      </c>
      <c r="H204">
        <f>IF(C204-'Atsipirkimo vertinimas'!$N$20&lt;0,0,1)</f>
        <v>1</v>
      </c>
      <c r="I204" s="92"/>
      <c r="J204" s="92">
        <f t="shared" si="25"/>
        <v>0</v>
      </c>
      <c r="K204" s="92"/>
      <c r="L204" s="88"/>
      <c r="N204" s="88">
        <v>200</v>
      </c>
      <c r="O204" s="92">
        <f t="shared" si="26"/>
        <v>1.4910273929271436</v>
      </c>
      <c r="P204" s="92">
        <f>IF($Z$64&lt;S204+(S204*(('Atsipirkimo vertinimas'!$N$19)/12)),($Z$64*T204)+(Q204*U204),S204+(S204*(('Atsipirkimo vertinimas'!$N$19)/12)))</f>
        <v>1.4326940595938102</v>
      </c>
      <c r="Q204" s="92">
        <f>IF(T204=0,0,S204*('Atsipirkimo vertinimas'!$N$19)/12)</f>
        <v>0.21549074339991345</v>
      </c>
      <c r="R204" s="92">
        <f t="shared" si="28"/>
        <v>1.2172033161938969</v>
      </c>
      <c r="S204" s="92">
        <f t="shared" si="29"/>
        <v>52.77324328161145</v>
      </c>
      <c r="T204">
        <f>IF(N204-'Atsipirkimo vertinimas'!$N$20&lt;0,0,1)</f>
        <v>1</v>
      </c>
      <c r="U204">
        <f>IF(N204-'Atsipirkimo vertinimas'!$N$20&gt;=0,0,1)</f>
        <v>0</v>
      </c>
      <c r="V204" s="92"/>
      <c r="W204" s="92"/>
      <c r="X204" s="88"/>
    </row>
    <row r="205" spans="3:24" x14ac:dyDescent="0.25">
      <c r="C205" s="88">
        <v>201</v>
      </c>
      <c r="D205" s="92">
        <f t="shared" si="24"/>
        <v>1.1853819444444407</v>
      </c>
      <c r="E205" s="92">
        <f>IF(H205=0,0,G205*('Atsipirkimo vertinimas'!$N$19)/12)</f>
        <v>0.15482638888888511</v>
      </c>
      <c r="F205" s="92">
        <f>($G$4/('Atsipirkimo vertinimas'!$N$18*12-'Atsipirkimo vertinimas'!$N$20)*H205)</f>
        <v>0.97222222222222221</v>
      </c>
      <c r="G205" s="92">
        <f t="shared" si="27"/>
        <v>37.916666666665741</v>
      </c>
      <c r="H205">
        <f>IF(C205-'Atsipirkimo vertinimas'!$N$20&lt;0,0,1)</f>
        <v>1</v>
      </c>
      <c r="I205" s="92"/>
      <c r="J205" s="92">
        <f t="shared" si="25"/>
        <v>0</v>
      </c>
      <c r="K205" s="92"/>
      <c r="L205" s="88"/>
      <c r="N205" s="88">
        <v>201</v>
      </c>
      <c r="O205" s="92">
        <f t="shared" si="26"/>
        <v>1.4910273929271436</v>
      </c>
      <c r="P205" s="92">
        <f>IF($Z$64&lt;S205+(S205*(('Atsipirkimo vertinimas'!$N$19)/12)),($Z$64*T205)+(Q205*U205),S205+(S205*(('Atsipirkimo vertinimas'!$N$19)/12)))</f>
        <v>1.4326940595938102</v>
      </c>
      <c r="Q205" s="92">
        <f>IF(T205=0,0,S205*('Atsipirkimo vertinimas'!$N$19)/12)</f>
        <v>0.21052049652545501</v>
      </c>
      <c r="R205" s="92">
        <f t="shared" si="28"/>
        <v>1.2221735630683552</v>
      </c>
      <c r="S205" s="92">
        <f t="shared" si="29"/>
        <v>51.556039965417554</v>
      </c>
      <c r="T205">
        <f>IF(N205-'Atsipirkimo vertinimas'!$N$20&lt;0,0,1)</f>
        <v>1</v>
      </c>
      <c r="U205">
        <f>IF(N205-'Atsipirkimo vertinimas'!$N$20&gt;=0,0,1)</f>
        <v>0</v>
      </c>
      <c r="V205" s="92"/>
      <c r="W205" s="92"/>
      <c r="X205" s="88"/>
    </row>
    <row r="206" spans="3:24" x14ac:dyDescent="0.25">
      <c r="C206" s="88">
        <v>202</v>
      </c>
      <c r="D206" s="92">
        <f t="shared" si="24"/>
        <v>1.1814120370370333</v>
      </c>
      <c r="E206" s="92">
        <f>IF(H206=0,0,G206*('Atsipirkimo vertinimas'!$N$19)/12)</f>
        <v>0.15085648148147771</v>
      </c>
      <c r="F206" s="92">
        <f>($G$4/('Atsipirkimo vertinimas'!$N$18*12-'Atsipirkimo vertinimas'!$N$20)*H206)</f>
        <v>0.97222222222222221</v>
      </c>
      <c r="G206" s="92">
        <f t="shared" si="27"/>
        <v>36.944444444443519</v>
      </c>
      <c r="H206">
        <f>IF(C206-'Atsipirkimo vertinimas'!$N$20&lt;0,0,1)</f>
        <v>1</v>
      </c>
      <c r="I206" s="92"/>
      <c r="J206" s="92">
        <f t="shared" si="25"/>
        <v>0</v>
      </c>
      <c r="K206" s="92"/>
      <c r="L206" s="88"/>
      <c r="N206" s="88">
        <v>202</v>
      </c>
      <c r="O206" s="92">
        <f t="shared" si="26"/>
        <v>1.4910273929271436</v>
      </c>
      <c r="P206" s="92">
        <f>IF($Z$64&lt;S206+(S206*(('Atsipirkimo vertinimas'!$N$19)/12)),($Z$64*T206)+(Q206*U206),S206+(S206*(('Atsipirkimo vertinimas'!$N$19)/12)))</f>
        <v>1.4326940595938102</v>
      </c>
      <c r="Q206" s="92">
        <f>IF(T206=0,0,S206*('Atsipirkimo vertinimas'!$N$19)/12)</f>
        <v>0.20552995447625924</v>
      </c>
      <c r="R206" s="92">
        <f t="shared" si="28"/>
        <v>1.227164105117551</v>
      </c>
      <c r="S206" s="92">
        <f t="shared" si="29"/>
        <v>50.333866402349202</v>
      </c>
      <c r="T206">
        <f>IF(N206-'Atsipirkimo vertinimas'!$N$20&lt;0,0,1)</f>
        <v>1</v>
      </c>
      <c r="U206">
        <f>IF(N206-'Atsipirkimo vertinimas'!$N$20&gt;=0,0,1)</f>
        <v>0</v>
      </c>
      <c r="V206" s="92"/>
      <c r="W206" s="92"/>
      <c r="X206" s="88"/>
    </row>
    <row r="207" spans="3:24" x14ac:dyDescent="0.25">
      <c r="C207" s="88">
        <v>203</v>
      </c>
      <c r="D207" s="92">
        <f t="shared" si="24"/>
        <v>1.1774421296296258</v>
      </c>
      <c r="E207" s="92">
        <f>IF(H207=0,0,G207*('Atsipirkimo vertinimas'!$N$19)/12)</f>
        <v>0.1468865740740703</v>
      </c>
      <c r="F207" s="92">
        <f>($G$4/('Atsipirkimo vertinimas'!$N$18*12-'Atsipirkimo vertinimas'!$N$20)*H207)</f>
        <v>0.97222222222222221</v>
      </c>
      <c r="G207" s="92">
        <f t="shared" si="27"/>
        <v>35.972222222221298</v>
      </c>
      <c r="H207">
        <f>IF(C207-'Atsipirkimo vertinimas'!$N$20&lt;0,0,1)</f>
        <v>1</v>
      </c>
      <c r="I207" s="92"/>
      <c r="J207" s="92">
        <f t="shared" si="25"/>
        <v>0</v>
      </c>
      <c r="K207" s="92"/>
      <c r="L207" s="91">
        <f>IF('Atsipirkimo vertinimas'!$N$18*12&gt;Grafikas!C207,SUM(D196:D207),0)</f>
        <v>14.391319444444399</v>
      </c>
      <c r="N207" s="88">
        <v>203</v>
      </c>
      <c r="O207" s="92">
        <f t="shared" si="26"/>
        <v>1.4910273929271436</v>
      </c>
      <c r="P207" s="92">
        <f>IF($Z$64&lt;S207+(S207*(('Atsipirkimo vertinimas'!$N$19)/12)),($Z$64*T207)+(Q207*U207),S207+(S207*(('Atsipirkimo vertinimas'!$N$19)/12)))</f>
        <v>1.4326940595938102</v>
      </c>
      <c r="Q207" s="92">
        <f>IF(T207=0,0,S207*('Atsipirkimo vertinimas'!$N$19)/12)</f>
        <v>0.20051903438036256</v>
      </c>
      <c r="R207" s="92">
        <f t="shared" si="28"/>
        <v>1.2321750252134476</v>
      </c>
      <c r="S207" s="92">
        <f t="shared" si="29"/>
        <v>49.106702297231649</v>
      </c>
      <c r="T207">
        <f>IF(N207-'Atsipirkimo vertinimas'!$N$20&lt;0,0,1)</f>
        <v>1</v>
      </c>
      <c r="U207">
        <f>IF(N207-'Atsipirkimo vertinimas'!$N$20&gt;=0,0,1)</f>
        <v>0</v>
      </c>
      <c r="V207" s="92"/>
      <c r="W207" s="92"/>
      <c r="X207" s="91">
        <f>IF('Atsipirkimo vertinimas'!$N$18*12&gt;Grafikas!C207,SUM(O196:O207),0)</f>
        <v>17.892328715125725</v>
      </c>
    </row>
    <row r="208" spans="3:24" x14ac:dyDescent="0.25">
      <c r="C208" s="88">
        <v>204</v>
      </c>
      <c r="D208" s="92">
        <f t="shared" si="24"/>
        <v>1.1734722222222185</v>
      </c>
      <c r="E208" s="92">
        <f>IF(H208=0,0,G208*('Atsipirkimo vertinimas'!$N$19)/12)</f>
        <v>0.14291666666666289</v>
      </c>
      <c r="F208" s="92">
        <f>($G$4/('Atsipirkimo vertinimas'!$N$18*12-'Atsipirkimo vertinimas'!$N$20)*H208)</f>
        <v>0.97222222222222221</v>
      </c>
      <c r="G208" s="92">
        <f t="shared" si="27"/>
        <v>34.999999999999076</v>
      </c>
      <c r="H208">
        <f>IF(C208-'Atsipirkimo vertinimas'!$N$20&lt;0,0,1)</f>
        <v>1</v>
      </c>
      <c r="I208" s="92"/>
      <c r="J208" s="92">
        <f t="shared" si="25"/>
        <v>0</v>
      </c>
      <c r="K208" s="92"/>
      <c r="L208" s="88"/>
      <c r="N208" s="88">
        <v>204</v>
      </c>
      <c r="O208" s="92">
        <f t="shared" si="26"/>
        <v>1.4910273929271436</v>
      </c>
      <c r="P208" s="92">
        <f>IF($Z$64&lt;S208+(S208*(('Atsipirkimo vertinimas'!$N$19)/12)),($Z$64*T208)+(Q208*U208),S208+(S208*(('Atsipirkimo vertinimas'!$N$19)/12)))</f>
        <v>1.4326940595938102</v>
      </c>
      <c r="Q208" s="92">
        <f>IF(T208=0,0,S208*('Atsipirkimo vertinimas'!$N$19)/12)</f>
        <v>0.19548765302740764</v>
      </c>
      <c r="R208" s="92">
        <f t="shared" si="28"/>
        <v>1.2372064065664026</v>
      </c>
      <c r="S208" s="92">
        <f t="shared" si="29"/>
        <v>47.874527272018199</v>
      </c>
      <c r="T208">
        <f>IF(N208-'Atsipirkimo vertinimas'!$N$20&lt;0,0,1)</f>
        <v>1</v>
      </c>
      <c r="U208">
        <f>IF(N208-'Atsipirkimo vertinimas'!$N$20&gt;=0,0,1)</f>
        <v>0</v>
      </c>
      <c r="V208" s="92"/>
      <c r="W208" s="92"/>
      <c r="X208" s="88"/>
    </row>
    <row r="209" spans="3:24" x14ac:dyDescent="0.25">
      <c r="C209" s="88">
        <v>205</v>
      </c>
      <c r="D209" s="92">
        <f t="shared" si="24"/>
        <v>1.1695023148148112</v>
      </c>
      <c r="E209" s="92">
        <f>IF(H209=0,0,G209*('Atsipirkimo vertinimas'!$N$19)/12)</f>
        <v>0.13894675925925551</v>
      </c>
      <c r="F209" s="92">
        <f>($G$4/('Atsipirkimo vertinimas'!$N$18*12-'Atsipirkimo vertinimas'!$N$20)*H209)</f>
        <v>0.97222222222222221</v>
      </c>
      <c r="G209" s="92">
        <f t="shared" si="27"/>
        <v>34.027777777776855</v>
      </c>
      <c r="H209">
        <f>IF(C209-'Atsipirkimo vertinimas'!$N$20&lt;0,0,1)</f>
        <v>1</v>
      </c>
      <c r="I209" s="92"/>
      <c r="J209" s="92">
        <f t="shared" si="25"/>
        <v>0</v>
      </c>
      <c r="K209" s="92"/>
      <c r="L209" s="88"/>
      <c r="N209" s="88">
        <v>205</v>
      </c>
      <c r="O209" s="92">
        <f t="shared" si="26"/>
        <v>1.4910273929271436</v>
      </c>
      <c r="P209" s="92">
        <f>IF($Z$64&lt;S209+(S209*(('Atsipirkimo vertinimas'!$N$19)/12)),($Z$64*T209)+(Q209*U209),S209+(S209*(('Atsipirkimo vertinimas'!$N$19)/12)))</f>
        <v>1.4326940595938102</v>
      </c>
      <c r="Q209" s="92">
        <f>IF(T209=0,0,S209*('Atsipirkimo vertinimas'!$N$19)/12)</f>
        <v>0.19043572686726151</v>
      </c>
      <c r="R209" s="92">
        <f t="shared" si="28"/>
        <v>1.2422583327265486</v>
      </c>
      <c r="S209" s="92">
        <f t="shared" si="29"/>
        <v>46.637320865451798</v>
      </c>
      <c r="T209">
        <f>IF(N209-'Atsipirkimo vertinimas'!$N$20&lt;0,0,1)</f>
        <v>1</v>
      </c>
      <c r="U209">
        <f>IF(N209-'Atsipirkimo vertinimas'!$N$20&gt;=0,0,1)</f>
        <v>0</v>
      </c>
      <c r="V209" s="92"/>
      <c r="W209" s="92"/>
      <c r="X209" s="88"/>
    </row>
    <row r="210" spans="3:24" x14ac:dyDescent="0.25">
      <c r="C210" s="88">
        <v>206</v>
      </c>
      <c r="D210" s="92">
        <f t="shared" si="24"/>
        <v>1.1655324074074036</v>
      </c>
      <c r="E210" s="92">
        <f>IF(H210=0,0,G210*('Atsipirkimo vertinimas'!$N$19)/12)</f>
        <v>0.1349768518518481</v>
      </c>
      <c r="F210" s="92">
        <f>($G$4/('Atsipirkimo vertinimas'!$N$18*12-'Atsipirkimo vertinimas'!$N$20)*H210)</f>
        <v>0.97222222222222221</v>
      </c>
      <c r="G210" s="92">
        <f t="shared" si="27"/>
        <v>33.055555555554633</v>
      </c>
      <c r="H210">
        <f>IF(C210-'Atsipirkimo vertinimas'!$N$20&lt;0,0,1)</f>
        <v>1</v>
      </c>
      <c r="I210" s="92"/>
      <c r="J210" s="92">
        <f t="shared" si="25"/>
        <v>0</v>
      </c>
      <c r="K210" s="92"/>
      <c r="L210" s="88"/>
      <c r="N210" s="88">
        <v>206</v>
      </c>
      <c r="O210" s="92">
        <f t="shared" si="26"/>
        <v>1.4910273929271436</v>
      </c>
      <c r="P210" s="92">
        <f>IF($Z$64&lt;S210+(S210*(('Atsipirkimo vertinimas'!$N$19)/12)),($Z$64*T210)+(Q210*U210),S210+(S210*(('Atsipirkimo vertinimas'!$N$19)/12)))</f>
        <v>1.4326940595938102</v>
      </c>
      <c r="Q210" s="92">
        <f>IF(T210=0,0,S210*('Atsipirkimo vertinimas'!$N$19)/12)</f>
        <v>0.18536317200862809</v>
      </c>
      <c r="R210" s="92">
        <f t="shared" si="28"/>
        <v>1.2473308875851821</v>
      </c>
      <c r="S210" s="92">
        <f t="shared" si="29"/>
        <v>45.395062532725248</v>
      </c>
      <c r="T210">
        <f>IF(N210-'Atsipirkimo vertinimas'!$N$20&lt;0,0,1)</f>
        <v>1</v>
      </c>
      <c r="U210">
        <f>IF(N210-'Atsipirkimo vertinimas'!$N$20&gt;=0,0,1)</f>
        <v>0</v>
      </c>
      <c r="V210" s="92"/>
      <c r="W210" s="92"/>
      <c r="X210" s="88"/>
    </row>
    <row r="211" spans="3:24" x14ac:dyDescent="0.25">
      <c r="C211" s="88">
        <v>207</v>
      </c>
      <c r="D211" s="92">
        <f t="shared" si="24"/>
        <v>1.1615624999999963</v>
      </c>
      <c r="E211" s="92">
        <f>IF(H211=0,0,G211*('Atsipirkimo vertinimas'!$N$19)/12)</f>
        <v>0.13100694444444069</v>
      </c>
      <c r="F211" s="92">
        <f>($G$4/('Atsipirkimo vertinimas'!$N$18*12-'Atsipirkimo vertinimas'!$N$20)*H211)</f>
        <v>0.97222222222222221</v>
      </c>
      <c r="G211" s="92">
        <f t="shared" si="27"/>
        <v>32.083333333332412</v>
      </c>
      <c r="H211">
        <f>IF(C211-'Atsipirkimo vertinimas'!$N$20&lt;0,0,1)</f>
        <v>1</v>
      </c>
      <c r="I211" s="92"/>
      <c r="J211" s="92">
        <f t="shared" si="25"/>
        <v>0</v>
      </c>
      <c r="K211" s="92"/>
      <c r="L211" s="88"/>
      <c r="N211" s="88">
        <v>207</v>
      </c>
      <c r="O211" s="92">
        <f t="shared" si="26"/>
        <v>1.4910273929271436</v>
      </c>
      <c r="P211" s="92">
        <f>IF($Z$64&lt;S211+(S211*(('Atsipirkimo vertinimas'!$N$19)/12)),($Z$64*T211)+(Q211*U211),S211+(S211*(('Atsipirkimo vertinimas'!$N$19)/12)))</f>
        <v>1.4326940595938102</v>
      </c>
      <c r="Q211" s="92">
        <f>IF(T211=0,0,S211*('Atsipirkimo vertinimas'!$N$19)/12)</f>
        <v>0.18026990421765529</v>
      </c>
      <c r="R211" s="92">
        <f t="shared" si="28"/>
        <v>1.252424155376155</v>
      </c>
      <c r="S211" s="92">
        <f t="shared" si="29"/>
        <v>44.14773164514007</v>
      </c>
      <c r="T211">
        <f>IF(N211-'Atsipirkimo vertinimas'!$N$20&lt;0,0,1)</f>
        <v>1</v>
      </c>
      <c r="U211">
        <f>IF(N211-'Atsipirkimo vertinimas'!$N$20&gt;=0,0,1)</f>
        <v>0</v>
      </c>
      <c r="V211" s="92"/>
      <c r="W211" s="92"/>
      <c r="X211" s="88"/>
    </row>
    <row r="212" spans="3:24" x14ac:dyDescent="0.25">
      <c r="C212" s="88">
        <v>208</v>
      </c>
      <c r="D212" s="92">
        <f t="shared" si="24"/>
        <v>1.1575925925925887</v>
      </c>
      <c r="E212" s="92">
        <f>IF(H212=0,0,G212*('Atsipirkimo vertinimas'!$N$19)/12)</f>
        <v>0.12703703703703328</v>
      </c>
      <c r="F212" s="92">
        <f>($G$4/('Atsipirkimo vertinimas'!$N$18*12-'Atsipirkimo vertinimas'!$N$20)*H212)</f>
        <v>0.97222222222222221</v>
      </c>
      <c r="G212" s="92">
        <f t="shared" si="27"/>
        <v>31.111111111110191</v>
      </c>
      <c r="H212">
        <f>IF(C212-'Atsipirkimo vertinimas'!$N$20&lt;0,0,1)</f>
        <v>1</v>
      </c>
      <c r="I212" s="92"/>
      <c r="J212" s="92">
        <f t="shared" si="25"/>
        <v>0</v>
      </c>
      <c r="K212" s="92"/>
      <c r="L212" s="88"/>
      <c r="N212" s="88">
        <v>208</v>
      </c>
      <c r="O212" s="92">
        <f t="shared" si="26"/>
        <v>1.4910273929271436</v>
      </c>
      <c r="P212" s="92">
        <f>IF($Z$64&lt;S212+(S212*(('Atsipirkimo vertinimas'!$N$19)/12)),($Z$64*T212)+(Q212*U212),S212+(S212*(('Atsipirkimo vertinimas'!$N$19)/12)))</f>
        <v>1.4326940595938102</v>
      </c>
      <c r="Q212" s="92">
        <f>IF(T212=0,0,S212*('Atsipirkimo vertinimas'!$N$19)/12)</f>
        <v>0.17515583891653599</v>
      </c>
      <c r="R212" s="92">
        <f t="shared" si="28"/>
        <v>1.2575382206772743</v>
      </c>
      <c r="S212" s="92">
        <f t="shared" si="29"/>
        <v>42.895307489763915</v>
      </c>
      <c r="T212">
        <f>IF(N212-'Atsipirkimo vertinimas'!$N$20&lt;0,0,1)</f>
        <v>1</v>
      </c>
      <c r="U212">
        <f>IF(N212-'Atsipirkimo vertinimas'!$N$20&gt;=0,0,1)</f>
        <v>0</v>
      </c>
      <c r="V212" s="92"/>
      <c r="W212" s="92"/>
      <c r="X212" s="88"/>
    </row>
    <row r="213" spans="3:24" x14ac:dyDescent="0.25">
      <c r="C213" s="88">
        <v>209</v>
      </c>
      <c r="D213" s="92">
        <f t="shared" si="24"/>
        <v>1.1536226851851814</v>
      </c>
      <c r="E213" s="92">
        <f>IF(H213=0,0,G213*('Atsipirkimo vertinimas'!$N$19)/12)</f>
        <v>0.12306712962962589</v>
      </c>
      <c r="F213" s="92">
        <f>($G$4/('Atsipirkimo vertinimas'!$N$18*12-'Atsipirkimo vertinimas'!$N$20)*H213)</f>
        <v>0.97222222222222221</v>
      </c>
      <c r="G213" s="92">
        <f t="shared" si="27"/>
        <v>30.138888888887969</v>
      </c>
      <c r="H213">
        <f>IF(C213-'Atsipirkimo vertinimas'!$N$20&lt;0,0,1)</f>
        <v>1</v>
      </c>
      <c r="I213" s="92"/>
      <c r="J213" s="92">
        <f t="shared" si="25"/>
        <v>0</v>
      </c>
      <c r="K213" s="92"/>
      <c r="L213" s="88"/>
      <c r="N213" s="88">
        <v>209</v>
      </c>
      <c r="O213" s="92">
        <f t="shared" si="26"/>
        <v>1.4910273929271436</v>
      </c>
      <c r="P213" s="92">
        <f>IF($Z$64&lt;S213+(S213*(('Atsipirkimo vertinimas'!$N$19)/12)),($Z$64*T213)+(Q213*U213),S213+(S213*(('Atsipirkimo vertinimas'!$N$19)/12)))</f>
        <v>1.4326940595938102</v>
      </c>
      <c r="Q213" s="92">
        <f>IF(T213=0,0,S213*('Atsipirkimo vertinimas'!$N$19)/12)</f>
        <v>0.17002089118210381</v>
      </c>
      <c r="R213" s="92">
        <f t="shared" si="28"/>
        <v>1.2626731684117065</v>
      </c>
      <c r="S213" s="92">
        <f t="shared" si="29"/>
        <v>41.63776926908664</v>
      </c>
      <c r="T213">
        <f>IF(N213-'Atsipirkimo vertinimas'!$N$20&lt;0,0,1)</f>
        <v>1</v>
      </c>
      <c r="U213">
        <f>IF(N213-'Atsipirkimo vertinimas'!$N$20&gt;=0,0,1)</f>
        <v>0</v>
      </c>
      <c r="V213" s="92"/>
      <c r="W213" s="92"/>
      <c r="X213" s="88"/>
    </row>
    <row r="214" spans="3:24" x14ac:dyDescent="0.25">
      <c r="C214" s="88">
        <v>210</v>
      </c>
      <c r="D214" s="92">
        <f t="shared" si="24"/>
        <v>1.1496527777777741</v>
      </c>
      <c r="E214" s="92">
        <f>IF(H214=0,0,G214*('Atsipirkimo vertinimas'!$N$19)/12)</f>
        <v>0.11909722222221847</v>
      </c>
      <c r="F214" s="92">
        <f>($G$4/('Atsipirkimo vertinimas'!$N$18*12-'Atsipirkimo vertinimas'!$N$20)*H214)</f>
        <v>0.97222222222222221</v>
      </c>
      <c r="G214" s="92">
        <f t="shared" si="27"/>
        <v>29.166666666665748</v>
      </c>
      <c r="H214">
        <f>IF(C214-'Atsipirkimo vertinimas'!$N$20&lt;0,0,1)</f>
        <v>1</v>
      </c>
      <c r="I214" s="92"/>
      <c r="J214" s="92">
        <f t="shared" si="25"/>
        <v>0</v>
      </c>
      <c r="K214" s="92"/>
      <c r="L214" s="88"/>
      <c r="N214" s="88">
        <v>210</v>
      </c>
      <c r="O214" s="92">
        <f t="shared" si="26"/>
        <v>1.4910273929271436</v>
      </c>
      <c r="P214" s="92">
        <f>IF($Z$64&lt;S214+(S214*(('Atsipirkimo vertinimas'!$N$19)/12)),($Z$64*T214)+(Q214*U214),S214+(S214*(('Atsipirkimo vertinimas'!$N$19)/12)))</f>
        <v>1.4326940595938102</v>
      </c>
      <c r="Q214" s="92">
        <f>IF(T214=0,0,S214*('Atsipirkimo vertinimas'!$N$19)/12)</f>
        <v>0.16486497574442263</v>
      </c>
      <c r="R214" s="92">
        <f t="shared" si="28"/>
        <v>1.2678290838493875</v>
      </c>
      <c r="S214" s="92">
        <f t="shared" si="29"/>
        <v>40.375096100674931</v>
      </c>
      <c r="T214">
        <f>IF(N214-'Atsipirkimo vertinimas'!$N$20&lt;0,0,1)</f>
        <v>1</v>
      </c>
      <c r="U214">
        <f>IF(N214-'Atsipirkimo vertinimas'!$N$20&gt;=0,0,1)</f>
        <v>0</v>
      </c>
      <c r="V214" s="92"/>
      <c r="W214" s="92"/>
      <c r="X214" s="88"/>
    </row>
    <row r="215" spans="3:24" x14ac:dyDescent="0.25">
      <c r="C215" s="88">
        <v>211</v>
      </c>
      <c r="D215" s="92">
        <f t="shared" si="24"/>
        <v>1.1456828703703665</v>
      </c>
      <c r="E215" s="92">
        <f>IF(H215=0,0,G215*('Atsipirkimo vertinimas'!$N$19)/12)</f>
        <v>0.11512731481481107</v>
      </c>
      <c r="F215" s="92">
        <f>($G$4/('Atsipirkimo vertinimas'!$N$18*12-'Atsipirkimo vertinimas'!$N$20)*H215)</f>
        <v>0.97222222222222221</v>
      </c>
      <c r="G215" s="92">
        <f t="shared" si="27"/>
        <v>28.194444444443526</v>
      </c>
      <c r="H215">
        <f>IF(C215-'Atsipirkimo vertinimas'!$N$20&lt;0,0,1)</f>
        <v>1</v>
      </c>
      <c r="I215" s="92"/>
      <c r="J215" s="92">
        <f t="shared" si="25"/>
        <v>0</v>
      </c>
      <c r="K215" s="92"/>
      <c r="L215" s="88"/>
      <c r="N215" s="88">
        <v>211</v>
      </c>
      <c r="O215" s="92">
        <f t="shared" si="26"/>
        <v>1.4910273929271436</v>
      </c>
      <c r="P215" s="92">
        <f>IF($Z$64&lt;S215+(S215*(('Atsipirkimo vertinimas'!$N$19)/12)),($Z$64*T215)+(Q215*U215),S215+(S215*(('Atsipirkimo vertinimas'!$N$19)/12)))</f>
        <v>1.4326940595938102</v>
      </c>
      <c r="Q215" s="92">
        <f>IF(T215=0,0,S215*('Atsipirkimo vertinimas'!$N$19)/12)</f>
        <v>0.15968800698537097</v>
      </c>
      <c r="R215" s="92">
        <f t="shared" si="28"/>
        <v>1.2730060526084392</v>
      </c>
      <c r="S215" s="92">
        <f t="shared" si="29"/>
        <v>39.107267016825546</v>
      </c>
      <c r="T215">
        <f>IF(N215-'Atsipirkimo vertinimas'!$N$20&lt;0,0,1)</f>
        <v>1</v>
      </c>
      <c r="U215">
        <f>IF(N215-'Atsipirkimo vertinimas'!$N$20&gt;=0,0,1)</f>
        <v>0</v>
      </c>
      <c r="V215" s="92"/>
      <c r="W215" s="92"/>
      <c r="X215" s="88"/>
    </row>
    <row r="216" spans="3:24" x14ac:dyDescent="0.25">
      <c r="C216" s="88">
        <v>212</v>
      </c>
      <c r="D216" s="92">
        <f t="shared" si="24"/>
        <v>1.1417129629629592</v>
      </c>
      <c r="E216" s="92">
        <f>IF(H216=0,0,G216*('Atsipirkimo vertinimas'!$N$19)/12)</f>
        <v>0.11115740740740367</v>
      </c>
      <c r="F216" s="92">
        <f>($G$4/('Atsipirkimo vertinimas'!$N$18*12-'Atsipirkimo vertinimas'!$N$20)*H216)</f>
        <v>0.97222222222222221</v>
      </c>
      <c r="G216" s="92">
        <f t="shared" si="27"/>
        <v>27.222222222221305</v>
      </c>
      <c r="H216">
        <f>IF(C216-'Atsipirkimo vertinimas'!$N$20&lt;0,0,1)</f>
        <v>1</v>
      </c>
      <c r="I216" s="92"/>
      <c r="J216" s="92">
        <f t="shared" si="25"/>
        <v>0</v>
      </c>
      <c r="K216" s="92"/>
      <c r="L216" s="88"/>
      <c r="N216" s="88">
        <v>212</v>
      </c>
      <c r="O216" s="92">
        <f t="shared" si="26"/>
        <v>1.4910273929271436</v>
      </c>
      <c r="P216" s="92">
        <f>IF($Z$64&lt;S216+(S216*(('Atsipirkimo vertinimas'!$N$19)/12)),($Z$64*T216)+(Q216*U216),S216+(S216*(('Atsipirkimo vertinimas'!$N$19)/12)))</f>
        <v>1.4326940595938102</v>
      </c>
      <c r="Q216" s="92">
        <f>IF(T216=0,0,S216*('Atsipirkimo vertinimas'!$N$19)/12)</f>
        <v>0.15448989893721987</v>
      </c>
      <c r="R216" s="92">
        <f t="shared" si="28"/>
        <v>1.2782041606565904</v>
      </c>
      <c r="S216" s="92">
        <f t="shared" si="29"/>
        <v>37.834260964217108</v>
      </c>
      <c r="T216">
        <f>IF(N216-'Atsipirkimo vertinimas'!$N$20&lt;0,0,1)</f>
        <v>1</v>
      </c>
      <c r="U216">
        <f>IF(N216-'Atsipirkimo vertinimas'!$N$20&gt;=0,0,1)</f>
        <v>0</v>
      </c>
      <c r="V216" s="92"/>
      <c r="W216" s="92"/>
      <c r="X216" s="88"/>
    </row>
    <row r="217" spans="3:24" x14ac:dyDescent="0.25">
      <c r="C217" s="88">
        <v>213</v>
      </c>
      <c r="D217" s="92">
        <f t="shared" si="24"/>
        <v>1.1377430555555519</v>
      </c>
      <c r="E217" s="92">
        <f>IF(H217=0,0,G217*('Atsipirkimo vertinimas'!$N$19)/12)</f>
        <v>0.10718749999999626</v>
      </c>
      <c r="F217" s="92">
        <f>($G$4/('Atsipirkimo vertinimas'!$N$18*12-'Atsipirkimo vertinimas'!$N$20)*H217)</f>
        <v>0.97222222222222221</v>
      </c>
      <c r="G217" s="92">
        <f t="shared" si="27"/>
        <v>26.249999999999083</v>
      </c>
      <c r="H217">
        <f>IF(C217-'Atsipirkimo vertinimas'!$N$20&lt;0,0,1)</f>
        <v>1</v>
      </c>
      <c r="I217" s="92"/>
      <c r="J217" s="92">
        <f t="shared" si="25"/>
        <v>0</v>
      </c>
      <c r="K217" s="92"/>
      <c r="L217" s="88"/>
      <c r="N217" s="88">
        <v>213</v>
      </c>
      <c r="O217" s="92">
        <f t="shared" si="26"/>
        <v>1.4910273929271436</v>
      </c>
      <c r="P217" s="92">
        <f>IF($Z$64&lt;S217+(S217*(('Atsipirkimo vertinimas'!$N$19)/12)),($Z$64*T217)+(Q217*U217),S217+(S217*(('Atsipirkimo vertinimas'!$N$19)/12)))</f>
        <v>1.4326940595938102</v>
      </c>
      <c r="Q217" s="92">
        <f>IF(T217=0,0,S217*('Atsipirkimo vertinimas'!$N$19)/12)</f>
        <v>0.14927056528120544</v>
      </c>
      <c r="R217" s="92">
        <f t="shared" si="28"/>
        <v>1.2834234943126048</v>
      </c>
      <c r="S217" s="92">
        <f t="shared" si="29"/>
        <v>36.556056803560516</v>
      </c>
      <c r="T217">
        <f>IF(N217-'Atsipirkimo vertinimas'!$N$20&lt;0,0,1)</f>
        <v>1</v>
      </c>
      <c r="U217">
        <f>IF(N217-'Atsipirkimo vertinimas'!$N$20&gt;=0,0,1)</f>
        <v>0</v>
      </c>
      <c r="V217" s="92"/>
      <c r="W217" s="92"/>
      <c r="X217" s="88"/>
    </row>
    <row r="218" spans="3:24" x14ac:dyDescent="0.25">
      <c r="C218" s="88">
        <v>214</v>
      </c>
      <c r="D218" s="92">
        <f t="shared" si="24"/>
        <v>1.1337731481481443</v>
      </c>
      <c r="E218" s="92">
        <f>IF(H218=0,0,G218*('Atsipirkimo vertinimas'!$N$19)/12)</f>
        <v>0.10321759259258885</v>
      </c>
      <c r="F218" s="92">
        <f>($G$4/('Atsipirkimo vertinimas'!$N$18*12-'Atsipirkimo vertinimas'!$N$20)*H218)</f>
        <v>0.97222222222222221</v>
      </c>
      <c r="G218" s="92">
        <f t="shared" si="27"/>
        <v>25.277777777776862</v>
      </c>
      <c r="H218">
        <f>IF(C218-'Atsipirkimo vertinimas'!$N$20&lt;0,0,1)</f>
        <v>1</v>
      </c>
      <c r="I218" s="92"/>
      <c r="J218" s="92">
        <f t="shared" si="25"/>
        <v>0</v>
      </c>
      <c r="K218" s="92"/>
      <c r="L218" s="88"/>
      <c r="N218" s="88">
        <v>214</v>
      </c>
      <c r="O218" s="92">
        <f t="shared" si="26"/>
        <v>1.4910273929271436</v>
      </c>
      <c r="P218" s="92">
        <f>IF($Z$64&lt;S218+(S218*(('Atsipirkimo vertinimas'!$N$19)/12)),($Z$64*T218)+(Q218*U218),S218+(S218*(('Atsipirkimo vertinimas'!$N$19)/12)))</f>
        <v>1.4326940595938102</v>
      </c>
      <c r="Q218" s="92">
        <f>IF(T218=0,0,S218*('Atsipirkimo vertinimas'!$N$19)/12)</f>
        <v>0.14402991934609563</v>
      </c>
      <c r="R218" s="92">
        <f t="shared" si="28"/>
        <v>1.2886641402477146</v>
      </c>
      <c r="S218" s="92">
        <f t="shared" si="29"/>
        <v>35.272633309247908</v>
      </c>
      <c r="T218">
        <f>IF(N218-'Atsipirkimo vertinimas'!$N$20&lt;0,0,1)</f>
        <v>1</v>
      </c>
      <c r="U218">
        <f>IF(N218-'Atsipirkimo vertinimas'!$N$20&gt;=0,0,1)</f>
        <v>0</v>
      </c>
      <c r="V218" s="92"/>
      <c r="W218" s="92"/>
      <c r="X218" s="88"/>
    </row>
    <row r="219" spans="3:24" x14ac:dyDescent="0.25">
      <c r="C219" s="88">
        <v>215</v>
      </c>
      <c r="D219" s="92">
        <f t="shared" si="24"/>
        <v>1.129803240740737</v>
      </c>
      <c r="E219" s="92">
        <f>IF(H219=0,0,G219*('Atsipirkimo vertinimas'!$N$19)/12)</f>
        <v>9.9247685185181456E-2</v>
      </c>
      <c r="F219" s="92">
        <f>($G$4/('Atsipirkimo vertinimas'!$N$18*12-'Atsipirkimo vertinimas'!$N$20)*H219)</f>
        <v>0.97222222222222221</v>
      </c>
      <c r="G219" s="92">
        <f t="shared" si="27"/>
        <v>24.305555555554641</v>
      </c>
      <c r="H219">
        <f>IF(C219-'Atsipirkimo vertinimas'!$N$20&lt;0,0,1)</f>
        <v>1</v>
      </c>
      <c r="I219" s="92"/>
      <c r="J219" s="92">
        <f t="shared" si="25"/>
        <v>0</v>
      </c>
      <c r="K219" s="92"/>
      <c r="L219" s="91">
        <f>IF('Atsipirkimo vertinimas'!$N$18*12&gt;Grafikas!C219,SUM(D208:D219),0)</f>
        <v>13.819652777777732</v>
      </c>
      <c r="N219" s="88">
        <v>215</v>
      </c>
      <c r="O219" s="92">
        <f t="shared" si="26"/>
        <v>1.4910273929271436</v>
      </c>
      <c r="P219" s="92">
        <f>IF($Z$64&lt;S219+(S219*(('Atsipirkimo vertinimas'!$N$19)/12)),($Z$64*T219)+(Q219*U219),S219+(S219*(('Atsipirkimo vertinimas'!$N$19)/12)))</f>
        <v>1.4326940595938102</v>
      </c>
      <c r="Q219" s="92">
        <f>IF(T219=0,0,S219*('Atsipirkimo vertinimas'!$N$19)/12)</f>
        <v>0.13876787410675079</v>
      </c>
      <c r="R219" s="92">
        <f t="shared" si="28"/>
        <v>1.2939261854870594</v>
      </c>
      <c r="S219" s="92">
        <f t="shared" si="29"/>
        <v>33.98396916900019</v>
      </c>
      <c r="T219">
        <f>IF(N219-'Atsipirkimo vertinimas'!$N$20&lt;0,0,1)</f>
        <v>1</v>
      </c>
      <c r="U219">
        <f>IF(N219-'Atsipirkimo vertinimas'!$N$20&gt;=0,0,1)</f>
        <v>0</v>
      </c>
      <c r="V219" s="92"/>
      <c r="W219" s="92"/>
      <c r="X219" s="91">
        <f>IF('Atsipirkimo vertinimas'!$N$18*12&gt;Grafikas!C219,SUM(O208:O219),0)</f>
        <v>17.892328715125725</v>
      </c>
    </row>
    <row r="220" spans="3:24" x14ac:dyDescent="0.25">
      <c r="C220" s="88">
        <v>216</v>
      </c>
      <c r="D220" s="92">
        <f t="shared" si="24"/>
        <v>1.1258333333333297</v>
      </c>
      <c r="E220" s="92">
        <f>IF(H220=0,0,G220*('Atsipirkimo vertinimas'!$N$19)/12)</f>
        <v>9.5277777777774061E-2</v>
      </c>
      <c r="F220" s="92">
        <f>($G$4/('Atsipirkimo vertinimas'!$N$18*12-'Atsipirkimo vertinimas'!$N$20)*H220)</f>
        <v>0.97222222222222221</v>
      </c>
      <c r="G220" s="92">
        <f t="shared" si="27"/>
        <v>23.333333333332419</v>
      </c>
      <c r="H220">
        <f>IF(C220-'Atsipirkimo vertinimas'!$N$20&lt;0,0,1)</f>
        <v>1</v>
      </c>
      <c r="I220" s="92"/>
      <c r="J220" s="92">
        <f t="shared" si="25"/>
        <v>0</v>
      </c>
      <c r="K220" s="92"/>
      <c r="L220" s="88"/>
      <c r="N220" s="88">
        <v>216</v>
      </c>
      <c r="O220" s="92">
        <f t="shared" si="26"/>
        <v>1.4910273929271436</v>
      </c>
      <c r="P220" s="92">
        <f>IF($Z$64&lt;S220+(S220*(('Atsipirkimo vertinimas'!$N$19)/12)),($Z$64*T220)+(Q220*U220),S220+(S220*(('Atsipirkimo vertinimas'!$N$19)/12)))</f>
        <v>1.4326940595938102</v>
      </c>
      <c r="Q220" s="92">
        <f>IF(T220=0,0,S220*('Atsipirkimo vertinimas'!$N$19)/12)</f>
        <v>0.13348434218267863</v>
      </c>
      <c r="R220" s="92">
        <f t="shared" si="28"/>
        <v>1.2992097174111317</v>
      </c>
      <c r="S220" s="92">
        <f t="shared" si="29"/>
        <v>32.690042983513131</v>
      </c>
      <c r="T220">
        <f>IF(N220-'Atsipirkimo vertinimas'!$N$20&lt;0,0,1)</f>
        <v>1</v>
      </c>
      <c r="U220">
        <f>IF(N220-'Atsipirkimo vertinimas'!$N$20&gt;=0,0,1)</f>
        <v>0</v>
      </c>
      <c r="V220" s="92"/>
      <c r="W220" s="92"/>
      <c r="X220" s="88"/>
    </row>
    <row r="221" spans="3:24" x14ac:dyDescent="0.25">
      <c r="C221" s="88">
        <v>217</v>
      </c>
      <c r="D221" s="92">
        <f t="shared" si="24"/>
        <v>1.1218634259259221</v>
      </c>
      <c r="E221" s="92">
        <f>IF(H221=0,0,G221*('Atsipirkimo vertinimas'!$N$19)/12)</f>
        <v>9.1307870370366639E-2</v>
      </c>
      <c r="F221" s="92">
        <f>($G$4/('Atsipirkimo vertinimas'!$N$18*12-'Atsipirkimo vertinimas'!$N$20)*H221)</f>
        <v>0.97222222222222221</v>
      </c>
      <c r="G221" s="92">
        <f t="shared" si="27"/>
        <v>22.361111111110198</v>
      </c>
      <c r="H221">
        <f>IF(C221-'Atsipirkimo vertinimas'!$N$20&lt;0,0,1)</f>
        <v>1</v>
      </c>
      <c r="I221" s="92"/>
      <c r="J221" s="92">
        <f t="shared" si="25"/>
        <v>0</v>
      </c>
      <c r="K221" s="92"/>
      <c r="L221" s="88"/>
      <c r="N221" s="88">
        <v>217</v>
      </c>
      <c r="O221" s="92">
        <f t="shared" si="26"/>
        <v>1.4910273929271436</v>
      </c>
      <c r="P221" s="92">
        <f>IF($Z$64&lt;S221+(S221*(('Atsipirkimo vertinimas'!$N$19)/12)),($Z$64*T221)+(Q221*U221),S221+(S221*(('Atsipirkimo vertinimas'!$N$19)/12)))</f>
        <v>1.4326940595938102</v>
      </c>
      <c r="Q221" s="92">
        <f>IF(T221=0,0,S221*('Atsipirkimo vertinimas'!$N$19)/12)</f>
        <v>0.12817923583658317</v>
      </c>
      <c r="R221" s="92">
        <f t="shared" si="28"/>
        <v>1.304514823757227</v>
      </c>
      <c r="S221" s="92">
        <f t="shared" si="29"/>
        <v>31.390833266102</v>
      </c>
      <c r="T221">
        <f>IF(N221-'Atsipirkimo vertinimas'!$N$20&lt;0,0,1)</f>
        <v>1</v>
      </c>
      <c r="U221">
        <f>IF(N221-'Atsipirkimo vertinimas'!$N$20&gt;=0,0,1)</f>
        <v>0</v>
      </c>
      <c r="V221" s="92"/>
      <c r="W221" s="92"/>
      <c r="X221" s="88"/>
    </row>
    <row r="222" spans="3:24" x14ac:dyDescent="0.25">
      <c r="C222" s="88">
        <v>218</v>
      </c>
      <c r="D222" s="92">
        <f t="shared" si="24"/>
        <v>1.1178935185185148</v>
      </c>
      <c r="E222" s="92">
        <f>IF(H222=0,0,G222*('Atsipirkimo vertinimas'!$N$19)/12)</f>
        <v>8.7337962962959245E-2</v>
      </c>
      <c r="F222" s="92">
        <f>($G$4/('Atsipirkimo vertinimas'!$N$18*12-'Atsipirkimo vertinimas'!$N$20)*H222)</f>
        <v>0.97222222222222221</v>
      </c>
      <c r="G222" s="92">
        <f t="shared" si="27"/>
        <v>21.388888888887976</v>
      </c>
      <c r="H222">
        <f>IF(C222-'Atsipirkimo vertinimas'!$N$20&lt;0,0,1)</f>
        <v>1</v>
      </c>
      <c r="I222" s="92"/>
      <c r="J222" s="92">
        <f t="shared" si="25"/>
        <v>0</v>
      </c>
      <c r="K222" s="92"/>
      <c r="L222" s="88"/>
      <c r="N222" s="88">
        <v>218</v>
      </c>
      <c r="O222" s="92">
        <f t="shared" si="26"/>
        <v>1.4910273929271436</v>
      </c>
      <c r="P222" s="92">
        <f>IF($Z$64&lt;S222+(S222*(('Atsipirkimo vertinimas'!$N$19)/12)),($Z$64*T222)+(Q222*U222),S222+(S222*(('Atsipirkimo vertinimas'!$N$19)/12)))</f>
        <v>1.4326940595938102</v>
      </c>
      <c r="Q222" s="92">
        <f>IF(T222=0,0,S222*('Atsipirkimo vertinimas'!$N$19)/12)</f>
        <v>0.12285246697290782</v>
      </c>
      <c r="R222" s="92">
        <f t="shared" si="28"/>
        <v>1.3098415926209024</v>
      </c>
      <c r="S222" s="92">
        <f t="shared" si="29"/>
        <v>30.086318442344773</v>
      </c>
      <c r="T222">
        <f>IF(N222-'Atsipirkimo vertinimas'!$N$20&lt;0,0,1)</f>
        <v>1</v>
      </c>
      <c r="U222">
        <f>IF(N222-'Atsipirkimo vertinimas'!$N$20&gt;=0,0,1)</f>
        <v>0</v>
      </c>
      <c r="V222" s="92"/>
      <c r="W222" s="92"/>
      <c r="X222" s="88"/>
    </row>
    <row r="223" spans="3:24" x14ac:dyDescent="0.25">
      <c r="C223" s="88">
        <v>219</v>
      </c>
      <c r="D223" s="92">
        <f t="shared" si="24"/>
        <v>1.1139236111111075</v>
      </c>
      <c r="E223" s="92">
        <f>IF(H223=0,0,G223*('Atsipirkimo vertinimas'!$N$19)/12)</f>
        <v>8.3368055555551837E-2</v>
      </c>
      <c r="F223" s="92">
        <f>($G$4/('Atsipirkimo vertinimas'!$N$18*12-'Atsipirkimo vertinimas'!$N$20)*H223)</f>
        <v>0.97222222222222221</v>
      </c>
      <c r="G223" s="92">
        <f t="shared" si="27"/>
        <v>20.416666666665755</v>
      </c>
      <c r="H223">
        <f>IF(C223-'Atsipirkimo vertinimas'!$N$20&lt;0,0,1)</f>
        <v>1</v>
      </c>
      <c r="I223" s="92"/>
      <c r="J223" s="92">
        <f t="shared" si="25"/>
        <v>0</v>
      </c>
      <c r="K223" s="92"/>
      <c r="L223" s="88"/>
      <c r="N223" s="88">
        <v>219</v>
      </c>
      <c r="O223" s="92">
        <f t="shared" si="26"/>
        <v>1.4910273929271436</v>
      </c>
      <c r="P223" s="92">
        <f>IF($Z$64&lt;S223+(S223*(('Atsipirkimo vertinimas'!$N$19)/12)),($Z$64*T223)+(Q223*U223),S223+(S223*(('Atsipirkimo vertinimas'!$N$19)/12)))</f>
        <v>1.4326940595938102</v>
      </c>
      <c r="Q223" s="92">
        <f>IF(T223=0,0,S223*('Atsipirkimo vertinimas'!$N$19)/12)</f>
        <v>0.11750394713637248</v>
      </c>
      <c r="R223" s="92">
        <f t="shared" si="28"/>
        <v>1.3151901124574377</v>
      </c>
      <c r="S223" s="92">
        <f t="shared" si="29"/>
        <v>28.776476849723871</v>
      </c>
      <c r="T223">
        <f>IF(N223-'Atsipirkimo vertinimas'!$N$20&lt;0,0,1)</f>
        <v>1</v>
      </c>
      <c r="U223">
        <f>IF(N223-'Atsipirkimo vertinimas'!$N$20&gt;=0,0,1)</f>
        <v>0</v>
      </c>
      <c r="V223" s="92"/>
      <c r="W223" s="92"/>
      <c r="X223" s="88"/>
    </row>
    <row r="224" spans="3:24" x14ac:dyDescent="0.25">
      <c r="C224" s="88">
        <v>220</v>
      </c>
      <c r="D224" s="92">
        <f t="shared" si="24"/>
        <v>1.1099537037036999</v>
      </c>
      <c r="E224" s="92">
        <f>IF(H224=0,0,G224*('Atsipirkimo vertinimas'!$N$19)/12)</f>
        <v>7.9398148148144429E-2</v>
      </c>
      <c r="F224" s="92">
        <f>($G$4/('Atsipirkimo vertinimas'!$N$18*12-'Atsipirkimo vertinimas'!$N$20)*H224)</f>
        <v>0.97222222222222221</v>
      </c>
      <c r="G224" s="92">
        <f t="shared" si="27"/>
        <v>19.444444444443533</v>
      </c>
      <c r="H224">
        <f>IF(C224-'Atsipirkimo vertinimas'!$N$20&lt;0,0,1)</f>
        <v>1</v>
      </c>
      <c r="I224" s="92"/>
      <c r="J224" s="92">
        <f t="shared" si="25"/>
        <v>0</v>
      </c>
      <c r="K224" s="92"/>
      <c r="L224" s="88"/>
      <c r="N224" s="88">
        <v>220</v>
      </c>
      <c r="O224" s="92">
        <f t="shared" si="26"/>
        <v>1.4910273929271436</v>
      </c>
      <c r="P224" s="92">
        <f>IF($Z$64&lt;S224+(S224*(('Atsipirkimo vertinimas'!$N$19)/12)),($Z$64*T224)+(Q224*U224),S224+(S224*(('Atsipirkimo vertinimas'!$N$19)/12)))</f>
        <v>1.4326940595938102</v>
      </c>
      <c r="Q224" s="92">
        <f>IF(T224=0,0,S224*('Atsipirkimo vertinimas'!$N$19)/12)</f>
        <v>0.11213358751050462</v>
      </c>
      <c r="R224" s="92">
        <f t="shared" si="28"/>
        <v>1.3205604720833057</v>
      </c>
      <c r="S224" s="92">
        <f t="shared" si="29"/>
        <v>27.461286737266434</v>
      </c>
      <c r="T224">
        <f>IF(N224-'Atsipirkimo vertinimas'!$N$20&lt;0,0,1)</f>
        <v>1</v>
      </c>
      <c r="U224">
        <f>IF(N224-'Atsipirkimo vertinimas'!$N$20&gt;=0,0,1)</f>
        <v>0</v>
      </c>
      <c r="V224" s="92"/>
      <c r="W224" s="92"/>
      <c r="X224" s="88"/>
    </row>
    <row r="225" spans="3:24" x14ac:dyDescent="0.25">
      <c r="C225" s="88">
        <v>221</v>
      </c>
      <c r="D225" s="92">
        <f t="shared" si="24"/>
        <v>1.1059837962962926</v>
      </c>
      <c r="E225" s="92">
        <f>IF(H225=0,0,G225*('Atsipirkimo vertinimas'!$N$19)/12)</f>
        <v>7.5428240740737021E-2</v>
      </c>
      <c r="F225" s="92">
        <f>($G$4/('Atsipirkimo vertinimas'!$N$18*12-'Atsipirkimo vertinimas'!$N$20)*H225)</f>
        <v>0.97222222222222221</v>
      </c>
      <c r="G225" s="92">
        <f t="shared" si="27"/>
        <v>18.472222222221312</v>
      </c>
      <c r="H225">
        <f>IF(C225-'Atsipirkimo vertinimas'!$N$20&lt;0,0,1)</f>
        <v>1</v>
      </c>
      <c r="I225" s="92"/>
      <c r="J225" s="92">
        <f t="shared" si="25"/>
        <v>0</v>
      </c>
      <c r="K225" s="92"/>
      <c r="L225" s="88"/>
      <c r="N225" s="88">
        <v>221</v>
      </c>
      <c r="O225" s="92">
        <f t="shared" si="26"/>
        <v>1.4910273929271436</v>
      </c>
      <c r="P225" s="92">
        <f>IF($Z$64&lt;S225+(S225*(('Atsipirkimo vertinimas'!$N$19)/12)),($Z$64*T225)+(Q225*U225),S225+(S225*(('Atsipirkimo vertinimas'!$N$19)/12)))</f>
        <v>1.4326940595938102</v>
      </c>
      <c r="Q225" s="92">
        <f>IF(T225=0,0,S225*('Atsipirkimo vertinimas'!$N$19)/12)</f>
        <v>0.10674129891616445</v>
      </c>
      <c r="R225" s="92">
        <f t="shared" si="28"/>
        <v>1.3259527606776458</v>
      </c>
      <c r="S225" s="92">
        <f t="shared" si="29"/>
        <v>26.14072626518313</v>
      </c>
      <c r="T225">
        <f>IF(N225-'Atsipirkimo vertinimas'!$N$20&lt;0,0,1)</f>
        <v>1</v>
      </c>
      <c r="U225">
        <f>IF(N225-'Atsipirkimo vertinimas'!$N$20&gt;=0,0,1)</f>
        <v>0</v>
      </c>
      <c r="V225" s="92"/>
      <c r="W225" s="92"/>
      <c r="X225" s="88"/>
    </row>
    <row r="226" spans="3:24" x14ac:dyDescent="0.25">
      <c r="C226" s="88">
        <v>222</v>
      </c>
      <c r="D226" s="92">
        <f t="shared" si="24"/>
        <v>1.1020138888888853</v>
      </c>
      <c r="E226" s="92">
        <f>IF(H226=0,0,G226*('Atsipirkimo vertinimas'!$N$19)/12)</f>
        <v>7.1458333333329627E-2</v>
      </c>
      <c r="F226" s="92">
        <f>($G$4/('Atsipirkimo vertinimas'!$N$18*12-'Atsipirkimo vertinimas'!$N$20)*H226)</f>
        <v>0.97222222222222221</v>
      </c>
      <c r="G226" s="92">
        <f t="shared" si="27"/>
        <v>17.499999999999091</v>
      </c>
      <c r="H226">
        <f>IF(C226-'Atsipirkimo vertinimas'!$N$20&lt;0,0,1)</f>
        <v>1</v>
      </c>
      <c r="I226" s="92"/>
      <c r="J226" s="92">
        <f t="shared" si="25"/>
        <v>0</v>
      </c>
      <c r="K226" s="92"/>
      <c r="L226" s="88"/>
      <c r="N226" s="88">
        <v>222</v>
      </c>
      <c r="O226" s="92">
        <f t="shared" si="26"/>
        <v>1.4910273929271436</v>
      </c>
      <c r="P226" s="92">
        <f>IF($Z$64&lt;S226+(S226*(('Atsipirkimo vertinimas'!$N$19)/12)),($Z$64*T226)+(Q226*U226),S226+(S226*(('Atsipirkimo vertinimas'!$N$19)/12)))</f>
        <v>1.4326940595938102</v>
      </c>
      <c r="Q226" s="92">
        <f>IF(T226=0,0,S226*('Atsipirkimo vertinimas'!$N$19)/12)</f>
        <v>0.10132699181006406</v>
      </c>
      <c r="R226" s="92">
        <f t="shared" si="28"/>
        <v>1.3313670677837461</v>
      </c>
      <c r="S226" s="92">
        <f t="shared" si="29"/>
        <v>24.814773504505485</v>
      </c>
      <c r="T226">
        <f>IF(N226-'Atsipirkimo vertinimas'!$N$20&lt;0,0,1)</f>
        <v>1</v>
      </c>
      <c r="U226">
        <f>IF(N226-'Atsipirkimo vertinimas'!$N$20&gt;=0,0,1)</f>
        <v>0</v>
      </c>
      <c r="V226" s="92"/>
      <c r="W226" s="92"/>
      <c r="X226" s="88"/>
    </row>
    <row r="227" spans="3:24" x14ac:dyDescent="0.25">
      <c r="C227" s="88">
        <v>223</v>
      </c>
      <c r="D227" s="92">
        <f t="shared" si="24"/>
        <v>1.0980439814814777</v>
      </c>
      <c r="E227" s="92">
        <f>IF(H227=0,0,G227*('Atsipirkimo vertinimas'!$N$19)/12)</f>
        <v>6.7488425925922219E-2</v>
      </c>
      <c r="F227" s="92">
        <f>($G$4/('Atsipirkimo vertinimas'!$N$18*12-'Atsipirkimo vertinimas'!$N$20)*H227)</f>
        <v>0.97222222222222221</v>
      </c>
      <c r="G227" s="92">
        <f t="shared" si="27"/>
        <v>16.527777777776869</v>
      </c>
      <c r="H227">
        <f>IF(C227-'Atsipirkimo vertinimas'!$N$20&lt;0,0,1)</f>
        <v>1</v>
      </c>
      <c r="I227" s="92"/>
      <c r="J227" s="92">
        <f t="shared" si="25"/>
        <v>0</v>
      </c>
      <c r="K227" s="92"/>
      <c r="L227" s="88"/>
      <c r="N227" s="88">
        <v>223</v>
      </c>
      <c r="O227" s="92">
        <f t="shared" si="26"/>
        <v>1.4910273929271436</v>
      </c>
      <c r="P227" s="92">
        <f>IF($Z$64&lt;S227+(S227*(('Atsipirkimo vertinimas'!$N$19)/12)),($Z$64*T227)+(Q227*U227),S227+(S227*(('Atsipirkimo vertinimas'!$N$19)/12)))</f>
        <v>1.4326940595938102</v>
      </c>
      <c r="Q227" s="92">
        <f>IF(T227=0,0,S227*('Atsipirkimo vertinimas'!$N$19)/12)</f>
        <v>9.5890576283280446E-2</v>
      </c>
      <c r="R227" s="92">
        <f t="shared" si="28"/>
        <v>1.3368034833105298</v>
      </c>
      <c r="S227" s="92">
        <f t="shared" si="29"/>
        <v>23.48340643672174</v>
      </c>
      <c r="T227">
        <f>IF(N227-'Atsipirkimo vertinimas'!$N$20&lt;0,0,1)</f>
        <v>1</v>
      </c>
      <c r="U227">
        <f>IF(N227-'Atsipirkimo vertinimas'!$N$20&gt;=0,0,1)</f>
        <v>0</v>
      </c>
      <c r="V227" s="92"/>
      <c r="W227" s="92"/>
      <c r="X227" s="88"/>
    </row>
    <row r="228" spans="3:24" x14ac:dyDescent="0.25">
      <c r="C228" s="88">
        <v>224</v>
      </c>
      <c r="D228" s="92">
        <f t="shared" si="24"/>
        <v>1.0940740740740704</v>
      </c>
      <c r="E228" s="92">
        <f>IF(H228=0,0,G228*('Atsipirkimo vertinimas'!$N$19)/12)</f>
        <v>6.351851851851481E-2</v>
      </c>
      <c r="F228" s="92">
        <f>($G$4/('Atsipirkimo vertinimas'!$N$18*12-'Atsipirkimo vertinimas'!$N$20)*H228)</f>
        <v>0.97222222222222221</v>
      </c>
      <c r="G228" s="92">
        <f t="shared" si="27"/>
        <v>15.555555555554648</v>
      </c>
      <c r="H228">
        <f>IF(C228-'Atsipirkimo vertinimas'!$N$20&lt;0,0,1)</f>
        <v>1</v>
      </c>
      <c r="I228" s="92"/>
      <c r="J228" s="92">
        <f t="shared" si="25"/>
        <v>0</v>
      </c>
      <c r="K228" s="92"/>
      <c r="L228" s="88"/>
      <c r="N228" s="88">
        <v>224</v>
      </c>
      <c r="O228" s="92">
        <f t="shared" si="26"/>
        <v>1.4910273929271436</v>
      </c>
      <c r="P228" s="92">
        <f>IF($Z$64&lt;S228+(S228*(('Atsipirkimo vertinimas'!$N$19)/12)),($Z$64*T228)+(Q228*U228),S228+(S228*(('Atsipirkimo vertinimas'!$N$19)/12)))</f>
        <v>1.4326940595938102</v>
      </c>
      <c r="Q228" s="92">
        <f>IF(T228=0,0,S228*('Atsipirkimo vertinimas'!$N$19)/12)</f>
        <v>9.043196205976245E-2</v>
      </c>
      <c r="R228" s="92">
        <f t="shared" si="28"/>
        <v>1.3422620975340478</v>
      </c>
      <c r="S228" s="92">
        <f t="shared" si="29"/>
        <v>22.146602953411211</v>
      </c>
      <c r="T228">
        <f>IF(N228-'Atsipirkimo vertinimas'!$N$20&lt;0,0,1)</f>
        <v>1</v>
      </c>
      <c r="U228">
        <f>IF(N228-'Atsipirkimo vertinimas'!$N$20&gt;=0,0,1)</f>
        <v>0</v>
      </c>
      <c r="V228" s="92"/>
      <c r="W228" s="92"/>
      <c r="X228" s="88"/>
    </row>
    <row r="229" spans="3:24" x14ac:dyDescent="0.25">
      <c r="C229" s="88">
        <v>225</v>
      </c>
      <c r="D229" s="92">
        <f t="shared" si="24"/>
        <v>1.0901041666666629</v>
      </c>
      <c r="E229" s="92">
        <f>IF(H229=0,0,G229*('Atsipirkimo vertinimas'!$N$19)/12)</f>
        <v>5.9548611111107409E-2</v>
      </c>
      <c r="F229" s="92">
        <f>($G$4/('Atsipirkimo vertinimas'!$N$18*12-'Atsipirkimo vertinimas'!$N$20)*H229)</f>
        <v>0.97222222222222221</v>
      </c>
      <c r="G229" s="92">
        <f t="shared" si="27"/>
        <v>14.583333333332426</v>
      </c>
      <c r="H229">
        <f>IF(C229-'Atsipirkimo vertinimas'!$N$20&lt;0,0,1)</f>
        <v>1</v>
      </c>
      <c r="I229" s="92"/>
      <c r="J229" s="92">
        <f t="shared" si="25"/>
        <v>0</v>
      </c>
      <c r="K229" s="92"/>
      <c r="L229" s="88"/>
      <c r="N229" s="88">
        <v>225</v>
      </c>
      <c r="O229" s="92">
        <f t="shared" si="26"/>
        <v>1.4910273929271436</v>
      </c>
      <c r="P229" s="92">
        <f>IF($Z$64&lt;S229+(S229*(('Atsipirkimo vertinimas'!$N$19)/12)),($Z$64*T229)+(Q229*U229),S229+(S229*(('Atsipirkimo vertinimas'!$N$19)/12)))</f>
        <v>1.4326940595938102</v>
      </c>
      <c r="Q229" s="92">
        <f>IF(T229=0,0,S229*('Atsipirkimo vertinimas'!$N$19)/12)</f>
        <v>8.4951058494831755E-2</v>
      </c>
      <c r="R229" s="92">
        <f t="shared" si="28"/>
        <v>1.3477430010989786</v>
      </c>
      <c r="S229" s="92">
        <f t="shared" si="29"/>
        <v>20.804340855877165</v>
      </c>
      <c r="T229">
        <f>IF(N229-'Atsipirkimo vertinimas'!$N$20&lt;0,0,1)</f>
        <v>1</v>
      </c>
      <c r="U229">
        <f>IF(N229-'Atsipirkimo vertinimas'!$N$20&gt;=0,0,1)</f>
        <v>0</v>
      </c>
      <c r="V229" s="92"/>
      <c r="W229" s="92"/>
      <c r="X229" s="88"/>
    </row>
    <row r="230" spans="3:24" x14ac:dyDescent="0.25">
      <c r="C230" s="88">
        <v>226</v>
      </c>
      <c r="D230" s="92">
        <f t="shared" si="24"/>
        <v>1.0861342592592556</v>
      </c>
      <c r="E230" s="92">
        <f>IF(H230=0,0,G230*('Atsipirkimo vertinimas'!$N$19)/12)</f>
        <v>5.5578703703700001E-2</v>
      </c>
      <c r="F230" s="92">
        <f>($G$4/('Atsipirkimo vertinimas'!$N$18*12-'Atsipirkimo vertinimas'!$N$20)*H230)</f>
        <v>0.97222222222222221</v>
      </c>
      <c r="G230" s="92">
        <f t="shared" si="27"/>
        <v>13.611111111110205</v>
      </c>
      <c r="H230">
        <f>IF(C230-'Atsipirkimo vertinimas'!$N$20&lt;0,0,1)</f>
        <v>1</v>
      </c>
      <c r="I230" s="92"/>
      <c r="J230" s="92">
        <f t="shared" si="25"/>
        <v>0</v>
      </c>
      <c r="K230" s="92"/>
      <c r="L230" s="88"/>
      <c r="N230" s="88">
        <v>226</v>
      </c>
      <c r="O230" s="92">
        <f t="shared" si="26"/>
        <v>1.4910273929271436</v>
      </c>
      <c r="P230" s="92">
        <f>IF($Z$64&lt;S230+(S230*(('Atsipirkimo vertinimas'!$N$19)/12)),($Z$64*T230)+(Q230*U230),S230+(S230*(('Atsipirkimo vertinimas'!$N$19)/12)))</f>
        <v>1.4326940595938102</v>
      </c>
      <c r="Q230" s="92">
        <f>IF(T230=0,0,S230*('Atsipirkimo vertinimas'!$N$19)/12)</f>
        <v>7.944777457367759E-2</v>
      </c>
      <c r="R230" s="92">
        <f t="shared" si="28"/>
        <v>1.3532462850201326</v>
      </c>
      <c r="S230" s="92">
        <f t="shared" si="29"/>
        <v>19.456597854778185</v>
      </c>
      <c r="T230">
        <f>IF(N230-'Atsipirkimo vertinimas'!$N$20&lt;0,0,1)</f>
        <v>1</v>
      </c>
      <c r="U230">
        <f>IF(N230-'Atsipirkimo vertinimas'!$N$20&gt;=0,0,1)</f>
        <v>0</v>
      </c>
      <c r="V230" s="92"/>
      <c r="W230" s="92"/>
      <c r="X230" s="88"/>
    </row>
    <row r="231" spans="3:24" x14ac:dyDescent="0.25">
      <c r="C231" s="88">
        <v>227</v>
      </c>
      <c r="D231" s="92">
        <f t="shared" si="24"/>
        <v>1.0821643518518482</v>
      </c>
      <c r="E231" s="92">
        <f>IF(H231=0,0,G231*('Atsipirkimo vertinimas'!$N$19)/12)</f>
        <v>5.1608796296292607E-2</v>
      </c>
      <c r="F231" s="92">
        <f>($G$4/('Atsipirkimo vertinimas'!$N$18*12-'Atsipirkimo vertinimas'!$N$20)*H231)</f>
        <v>0.97222222222222221</v>
      </c>
      <c r="G231" s="92">
        <f t="shared" si="27"/>
        <v>12.638888888887983</v>
      </c>
      <c r="H231">
        <f>IF(C231-'Atsipirkimo vertinimas'!$N$20&lt;0,0,1)</f>
        <v>1</v>
      </c>
      <c r="I231" s="92"/>
      <c r="J231" s="92">
        <f t="shared" si="25"/>
        <v>0</v>
      </c>
      <c r="K231" s="92"/>
      <c r="L231" s="91">
        <f>IF('Atsipirkimo vertinimas'!$N$18*12&gt;Grafikas!C231,SUM(D220:D231),0)</f>
        <v>13.247986111111066</v>
      </c>
      <c r="N231" s="88">
        <v>227</v>
      </c>
      <c r="O231" s="92">
        <f t="shared" si="26"/>
        <v>1.4910273929271436</v>
      </c>
      <c r="P231" s="92">
        <f>IF($Z$64&lt;S231+(S231*(('Atsipirkimo vertinimas'!$N$19)/12)),($Z$64*T231)+(Q231*U231),S231+(S231*(('Atsipirkimo vertinimas'!$N$19)/12)))</f>
        <v>1.4326940595938102</v>
      </c>
      <c r="Q231" s="92">
        <f>IF(T231=0,0,S231*('Atsipirkimo vertinimas'!$N$19)/12)</f>
        <v>7.3922018909845372E-2</v>
      </c>
      <c r="R231" s="92">
        <f t="shared" si="28"/>
        <v>1.358772040683965</v>
      </c>
      <c r="S231" s="92">
        <f t="shared" si="29"/>
        <v>18.10335156975805</v>
      </c>
      <c r="T231">
        <f>IF(N231-'Atsipirkimo vertinimas'!$N$20&lt;0,0,1)</f>
        <v>1</v>
      </c>
      <c r="U231">
        <f>IF(N231-'Atsipirkimo vertinimas'!$N$20&gt;=0,0,1)</f>
        <v>0</v>
      </c>
      <c r="V231" s="92"/>
      <c r="W231" s="92"/>
      <c r="X231" s="91">
        <f>IF('Atsipirkimo vertinimas'!$N$18*12&gt;Grafikas!C231,SUM(O220:O231),0)</f>
        <v>17.892328715125725</v>
      </c>
    </row>
    <row r="232" spans="3:24" x14ac:dyDescent="0.25">
      <c r="C232" s="88">
        <v>228</v>
      </c>
      <c r="D232" s="92">
        <f t="shared" si="24"/>
        <v>1.0781944444444407</v>
      </c>
      <c r="E232" s="92">
        <f>IF(H232=0,0,G232*('Atsipirkimo vertinimas'!$N$19)/12)</f>
        <v>4.7638888888885199E-2</v>
      </c>
      <c r="F232" s="92">
        <f>($G$4/('Atsipirkimo vertinimas'!$N$18*12-'Atsipirkimo vertinimas'!$N$20)*H232)</f>
        <v>0.97222222222222221</v>
      </c>
      <c r="G232" s="92">
        <f t="shared" si="27"/>
        <v>11.666666666665762</v>
      </c>
      <c r="H232">
        <f>IF(C232-'Atsipirkimo vertinimas'!$N$20&lt;0,0,1)</f>
        <v>1</v>
      </c>
      <c r="I232" s="92"/>
      <c r="J232" s="92">
        <f t="shared" si="25"/>
        <v>0</v>
      </c>
      <c r="K232" s="92"/>
      <c r="L232" s="88"/>
      <c r="N232" s="88">
        <v>228</v>
      </c>
      <c r="O232" s="92">
        <f t="shared" si="26"/>
        <v>1.4910273929271436</v>
      </c>
      <c r="P232" s="92">
        <f>IF($Z$64&lt;S232+(S232*(('Atsipirkimo vertinimas'!$N$19)/12)),($Z$64*T232)+(Q232*U232),S232+(S232*(('Atsipirkimo vertinimas'!$N$19)/12)))</f>
        <v>1.4326940595938102</v>
      </c>
      <c r="Q232" s="92">
        <f>IF(T232=0,0,S232*('Atsipirkimo vertinimas'!$N$19)/12)</f>
        <v>6.837369974371918E-2</v>
      </c>
      <c r="R232" s="92">
        <f t="shared" si="28"/>
        <v>1.364320359850091</v>
      </c>
      <c r="S232" s="92">
        <f t="shared" si="29"/>
        <v>16.744579529074084</v>
      </c>
      <c r="T232">
        <f>IF(N232-'Atsipirkimo vertinimas'!$N$20&lt;0,0,1)</f>
        <v>1</v>
      </c>
      <c r="U232">
        <f>IF(N232-'Atsipirkimo vertinimas'!$N$20&gt;=0,0,1)</f>
        <v>0</v>
      </c>
      <c r="V232" s="92"/>
      <c r="W232" s="92"/>
      <c r="X232" s="88"/>
    </row>
    <row r="233" spans="3:24" x14ac:dyDescent="0.25">
      <c r="C233" s="88">
        <v>229</v>
      </c>
      <c r="D233" s="92">
        <f t="shared" si="24"/>
        <v>1.0742245370370334</v>
      </c>
      <c r="E233" s="92">
        <f>IF(H233=0,0,G233*('Atsipirkimo vertinimas'!$N$19)/12)</f>
        <v>4.3668981481477791E-2</v>
      </c>
      <c r="F233" s="92">
        <f>($G$4/('Atsipirkimo vertinimas'!$N$18*12-'Atsipirkimo vertinimas'!$N$20)*H233)</f>
        <v>0.97222222222222221</v>
      </c>
      <c r="G233" s="92">
        <f t="shared" si="27"/>
        <v>10.69444444444354</v>
      </c>
      <c r="H233">
        <f>IF(C233-'Atsipirkimo vertinimas'!$N$20&lt;0,0,1)</f>
        <v>1</v>
      </c>
      <c r="I233" s="92"/>
      <c r="J233" s="92">
        <f t="shared" si="25"/>
        <v>0</v>
      </c>
      <c r="K233" s="92"/>
      <c r="L233" s="88"/>
      <c r="N233" s="88">
        <v>229</v>
      </c>
      <c r="O233" s="92">
        <f t="shared" si="26"/>
        <v>1.4910273929271436</v>
      </c>
      <c r="P233" s="92">
        <f>IF($Z$64&lt;S233+(S233*(('Atsipirkimo vertinimas'!$N$19)/12)),($Z$64*T233)+(Q233*U233),S233+(S233*(('Atsipirkimo vertinimas'!$N$19)/12)))</f>
        <v>1.4326940595938102</v>
      </c>
      <c r="Q233" s="92">
        <f>IF(T233=0,0,S233*('Atsipirkimo vertinimas'!$N$19)/12)</f>
        <v>6.2802724940997978E-2</v>
      </c>
      <c r="R233" s="92">
        <f t="shared" si="28"/>
        <v>1.3698913346528123</v>
      </c>
      <c r="S233" s="92">
        <f t="shared" si="29"/>
        <v>15.380259169223994</v>
      </c>
      <c r="T233">
        <f>IF(N233-'Atsipirkimo vertinimas'!$N$20&lt;0,0,1)</f>
        <v>1</v>
      </c>
      <c r="U233">
        <f>IF(N233-'Atsipirkimo vertinimas'!$N$20&gt;=0,0,1)</f>
        <v>0</v>
      </c>
      <c r="V233" s="92"/>
      <c r="W233" s="92"/>
      <c r="X233" s="88"/>
    </row>
    <row r="234" spans="3:24" x14ac:dyDescent="0.25">
      <c r="C234" s="88">
        <v>230</v>
      </c>
      <c r="D234" s="92">
        <f t="shared" si="24"/>
        <v>1.070254629629626</v>
      </c>
      <c r="E234" s="92">
        <f>IF(H234=0,0,G234*('Atsipirkimo vertinimas'!$N$19)/12)</f>
        <v>3.969907407407039E-2</v>
      </c>
      <c r="F234" s="92">
        <f>($G$4/('Atsipirkimo vertinimas'!$N$18*12-'Atsipirkimo vertinimas'!$N$20)*H234)</f>
        <v>0.97222222222222221</v>
      </c>
      <c r="G234" s="92">
        <f t="shared" si="27"/>
        <v>9.722222222221319</v>
      </c>
      <c r="H234">
        <f>IF(C234-'Atsipirkimo vertinimas'!$N$20&lt;0,0,1)</f>
        <v>1</v>
      </c>
      <c r="I234" s="92"/>
      <c r="J234" s="92">
        <f t="shared" si="25"/>
        <v>0</v>
      </c>
      <c r="K234" s="92"/>
      <c r="L234" s="88"/>
      <c r="N234" s="88">
        <v>230</v>
      </c>
      <c r="O234" s="92">
        <f t="shared" si="26"/>
        <v>1.4910273929271436</v>
      </c>
      <c r="P234" s="92">
        <f>IF($Z$64&lt;S234+(S234*(('Atsipirkimo vertinimas'!$N$19)/12)),($Z$64*T234)+(Q234*U234),S234+(S234*(('Atsipirkimo vertinimas'!$N$19)/12)))</f>
        <v>1.4326940595938102</v>
      </c>
      <c r="Q234" s="92">
        <f>IF(T234=0,0,S234*('Atsipirkimo vertinimas'!$N$19)/12)</f>
        <v>5.7209001991165659E-2</v>
      </c>
      <c r="R234" s="92">
        <f t="shared" si="28"/>
        <v>1.3754850576026445</v>
      </c>
      <c r="S234" s="92">
        <f t="shared" si="29"/>
        <v>14.010367834571181</v>
      </c>
      <c r="T234">
        <f>IF(N234-'Atsipirkimo vertinimas'!$N$20&lt;0,0,1)</f>
        <v>1</v>
      </c>
      <c r="U234">
        <f>IF(N234-'Atsipirkimo vertinimas'!$N$20&gt;=0,0,1)</f>
        <v>0</v>
      </c>
      <c r="V234" s="92"/>
      <c r="W234" s="92"/>
      <c r="X234" s="88"/>
    </row>
    <row r="235" spans="3:24" x14ac:dyDescent="0.25">
      <c r="C235" s="88">
        <v>231</v>
      </c>
      <c r="D235" s="92">
        <f t="shared" si="24"/>
        <v>1.0662847222222185</v>
      </c>
      <c r="E235" s="92">
        <f>IF(H235=0,0,G235*('Atsipirkimo vertinimas'!$N$19)/12)</f>
        <v>3.5729166666662981E-2</v>
      </c>
      <c r="F235" s="92">
        <f>($G$4/('Atsipirkimo vertinimas'!$N$18*12-'Atsipirkimo vertinimas'!$N$20)*H235)</f>
        <v>0.97222222222222221</v>
      </c>
      <c r="G235" s="92">
        <f t="shared" si="27"/>
        <v>8.7499999999990976</v>
      </c>
      <c r="H235">
        <f>IF(C235-'Atsipirkimo vertinimas'!$N$20&lt;0,0,1)</f>
        <v>1</v>
      </c>
      <c r="I235" s="92"/>
      <c r="J235" s="92">
        <f t="shared" si="25"/>
        <v>0</v>
      </c>
      <c r="K235" s="92"/>
      <c r="L235" s="88"/>
      <c r="N235" s="88">
        <v>231</v>
      </c>
      <c r="O235" s="92">
        <f t="shared" si="26"/>
        <v>1.4910273929271436</v>
      </c>
      <c r="P235" s="92">
        <f>IF($Z$64&lt;S235+(S235*(('Atsipirkimo vertinimas'!$N$19)/12)),($Z$64*T235)+(Q235*U235),S235+(S235*(('Atsipirkimo vertinimas'!$N$19)/12)))</f>
        <v>1.4326940595938102</v>
      </c>
      <c r="Q235" s="92">
        <f>IF(T235=0,0,S235*('Atsipirkimo vertinimas'!$N$19)/12)</f>
        <v>5.1592438005954859E-2</v>
      </c>
      <c r="R235" s="92">
        <f t="shared" si="28"/>
        <v>1.3811016215878553</v>
      </c>
      <c r="S235" s="92">
        <f t="shared" si="29"/>
        <v>12.634882776968537</v>
      </c>
      <c r="T235">
        <f>IF(N235-'Atsipirkimo vertinimas'!$N$20&lt;0,0,1)</f>
        <v>1</v>
      </c>
      <c r="U235">
        <f>IF(N235-'Atsipirkimo vertinimas'!$N$20&gt;=0,0,1)</f>
        <v>0</v>
      </c>
      <c r="V235" s="92"/>
      <c r="W235" s="92"/>
      <c r="X235" s="88"/>
    </row>
    <row r="236" spans="3:24" x14ac:dyDescent="0.25">
      <c r="C236" s="88">
        <v>232</v>
      </c>
      <c r="D236" s="92">
        <f t="shared" si="24"/>
        <v>1.0623148148148112</v>
      </c>
      <c r="E236" s="92">
        <f>IF(H236=0,0,G236*('Atsipirkimo vertinimas'!$N$19)/12)</f>
        <v>3.1759259259255573E-2</v>
      </c>
      <c r="F236" s="92">
        <f>($G$4/('Atsipirkimo vertinimas'!$N$18*12-'Atsipirkimo vertinimas'!$N$20)*H236)</f>
        <v>0.97222222222222221</v>
      </c>
      <c r="G236" s="92">
        <f t="shared" si="27"/>
        <v>7.7777777777768753</v>
      </c>
      <c r="H236">
        <f>IF(C236-'Atsipirkimo vertinimas'!$N$20&lt;0,0,1)</f>
        <v>1</v>
      </c>
      <c r="I236" s="92"/>
      <c r="J236" s="92">
        <f t="shared" si="25"/>
        <v>0</v>
      </c>
      <c r="K236" s="92"/>
      <c r="L236" s="88"/>
      <c r="N236" s="88">
        <v>232</v>
      </c>
      <c r="O236" s="92">
        <f t="shared" si="26"/>
        <v>1.4910273929271436</v>
      </c>
      <c r="P236" s="92">
        <f>IF($Z$64&lt;S236+(S236*(('Atsipirkimo vertinimas'!$N$19)/12)),($Z$64*T236)+(Q236*U236),S236+(S236*(('Atsipirkimo vertinimas'!$N$19)/12)))</f>
        <v>1.4326940595938102</v>
      </c>
      <c r="Q236" s="92">
        <f>IF(T236=0,0,S236*('Atsipirkimo vertinimas'!$N$19)/12)</f>
        <v>4.5952939717804453E-2</v>
      </c>
      <c r="R236" s="92">
        <f t="shared" si="28"/>
        <v>1.3867411198760058</v>
      </c>
      <c r="S236" s="92">
        <f t="shared" si="29"/>
        <v>11.253781155380681</v>
      </c>
      <c r="T236">
        <f>IF(N236-'Atsipirkimo vertinimas'!$N$20&lt;0,0,1)</f>
        <v>1</v>
      </c>
      <c r="U236">
        <f>IF(N236-'Atsipirkimo vertinimas'!$N$20&gt;=0,0,1)</f>
        <v>0</v>
      </c>
      <c r="V236" s="92"/>
      <c r="W236" s="92"/>
      <c r="X236" s="88"/>
    </row>
    <row r="237" spans="3:24" x14ac:dyDescent="0.25">
      <c r="C237" s="88">
        <v>233</v>
      </c>
      <c r="D237" s="92">
        <f t="shared" si="24"/>
        <v>1.0583449074074036</v>
      </c>
      <c r="E237" s="92">
        <f>IF(H237=0,0,G237*('Atsipirkimo vertinimas'!$N$19)/12)</f>
        <v>2.7789351851848165E-2</v>
      </c>
      <c r="F237" s="92">
        <f>($G$4/('Atsipirkimo vertinimas'!$N$18*12-'Atsipirkimo vertinimas'!$N$20)*H237)</f>
        <v>0.97222222222222221</v>
      </c>
      <c r="G237" s="92">
        <f t="shared" si="27"/>
        <v>6.805555555554653</v>
      </c>
      <c r="H237">
        <f>IF(C237-'Atsipirkimo vertinimas'!$N$20&lt;0,0,1)</f>
        <v>1</v>
      </c>
      <c r="I237" s="92"/>
      <c r="J237" s="92">
        <f t="shared" si="25"/>
        <v>0</v>
      </c>
      <c r="K237" s="92"/>
      <c r="L237" s="88"/>
      <c r="N237" s="88">
        <v>233</v>
      </c>
      <c r="O237" s="92">
        <f t="shared" si="26"/>
        <v>1.4910273929271436</v>
      </c>
      <c r="P237" s="92">
        <f>IF($Z$64&lt;S237+(S237*(('Atsipirkimo vertinimas'!$N$19)/12)),($Z$64*T237)+(Q237*U237),S237+(S237*(('Atsipirkimo vertinimas'!$N$19)/12)))</f>
        <v>1.4326940595938102</v>
      </c>
      <c r="Q237" s="92">
        <f>IF(T237=0,0,S237*('Atsipirkimo vertinimas'!$N$19)/12)</f>
        <v>4.0290413478310763E-2</v>
      </c>
      <c r="R237" s="92">
        <f t="shared" si="28"/>
        <v>1.3924036461154994</v>
      </c>
      <c r="S237" s="92">
        <f t="shared" si="29"/>
        <v>9.8670400355046759</v>
      </c>
      <c r="T237">
        <f>IF(N237-'Atsipirkimo vertinimas'!$N$20&lt;0,0,1)</f>
        <v>1</v>
      </c>
      <c r="U237">
        <f>IF(N237-'Atsipirkimo vertinimas'!$N$20&gt;=0,0,1)</f>
        <v>0</v>
      </c>
      <c r="V237" s="92"/>
      <c r="W237" s="92"/>
      <c r="X237" s="88"/>
    </row>
    <row r="238" spans="3:24" x14ac:dyDescent="0.25">
      <c r="C238" s="88">
        <v>234</v>
      </c>
      <c r="D238" s="92">
        <f t="shared" si="24"/>
        <v>1.0543749999999963</v>
      </c>
      <c r="E238" s="92">
        <f>IF(H238=0,0,G238*('Atsipirkimo vertinimas'!$N$19)/12)</f>
        <v>2.3819444444440757E-2</v>
      </c>
      <c r="F238" s="92">
        <f>($G$4/('Atsipirkimo vertinimas'!$N$18*12-'Atsipirkimo vertinimas'!$N$20)*H238)</f>
        <v>0.97222222222222221</v>
      </c>
      <c r="G238" s="92">
        <f t="shared" si="27"/>
        <v>5.8333333333324306</v>
      </c>
      <c r="H238">
        <f>IF(C238-'Atsipirkimo vertinimas'!$N$20&lt;0,0,1)</f>
        <v>1</v>
      </c>
      <c r="I238" s="92"/>
      <c r="J238" s="92">
        <f t="shared" si="25"/>
        <v>0</v>
      </c>
      <c r="K238" s="92"/>
      <c r="L238" s="88"/>
      <c r="N238" s="88">
        <v>234</v>
      </c>
      <c r="O238" s="92">
        <f t="shared" si="26"/>
        <v>1.4910273929271436</v>
      </c>
      <c r="P238" s="92">
        <f>IF($Z$64&lt;S238+(S238*(('Atsipirkimo vertinimas'!$N$19)/12)),($Z$64*T238)+(Q238*U238),S238+(S238*(('Atsipirkimo vertinimas'!$N$19)/12)))</f>
        <v>1.4326940595938102</v>
      </c>
      <c r="Q238" s="92">
        <f>IF(T238=0,0,S238*('Atsipirkimo vertinimas'!$N$19)/12)</f>
        <v>3.4604765256672478E-2</v>
      </c>
      <c r="R238" s="92">
        <f t="shared" si="28"/>
        <v>1.3980892943371377</v>
      </c>
      <c r="S238" s="92">
        <f t="shared" si="29"/>
        <v>8.4746363893891772</v>
      </c>
      <c r="T238">
        <f>IF(N238-'Atsipirkimo vertinimas'!$N$20&lt;0,0,1)</f>
        <v>1</v>
      </c>
      <c r="U238">
        <f>IF(N238-'Atsipirkimo vertinimas'!$N$20&gt;=0,0,1)</f>
        <v>0</v>
      </c>
      <c r="V238" s="92"/>
      <c r="W238" s="92"/>
      <c r="X238" s="88"/>
    </row>
    <row r="239" spans="3:24" x14ac:dyDescent="0.25">
      <c r="C239" s="88">
        <v>235</v>
      </c>
      <c r="D239" s="92">
        <f t="shared" si="24"/>
        <v>1.050405092592589</v>
      </c>
      <c r="E239" s="92">
        <f>IF(H239=0,0,G239*('Atsipirkimo vertinimas'!$N$19)/12)</f>
        <v>1.9849537037033353E-2</v>
      </c>
      <c r="F239" s="92">
        <f>($G$4/('Atsipirkimo vertinimas'!$N$18*12-'Atsipirkimo vertinimas'!$N$20)*H239)</f>
        <v>0.97222222222222221</v>
      </c>
      <c r="G239" s="92">
        <f t="shared" si="27"/>
        <v>4.8611111111102083</v>
      </c>
      <c r="H239">
        <f>IF(C239-'Atsipirkimo vertinimas'!$N$20&lt;0,0,1)</f>
        <v>1</v>
      </c>
      <c r="I239" s="92"/>
      <c r="J239" s="92">
        <f t="shared" si="25"/>
        <v>0</v>
      </c>
      <c r="K239" s="92"/>
      <c r="L239" s="88"/>
      <c r="N239" s="88">
        <v>235</v>
      </c>
      <c r="O239" s="92">
        <f t="shared" si="26"/>
        <v>1.4910273929271436</v>
      </c>
      <c r="P239" s="92">
        <f>IF($Z$64&lt;S239+(S239*(('Atsipirkimo vertinimas'!$N$19)/12)),($Z$64*T239)+(Q239*U239),S239+(S239*(('Atsipirkimo vertinimas'!$N$19)/12)))</f>
        <v>1.4326940595938102</v>
      </c>
      <c r="Q239" s="92">
        <f>IF(T239=0,0,S239*('Atsipirkimo vertinimas'!$N$19)/12)</f>
        <v>2.8895900638129163E-2</v>
      </c>
      <c r="R239" s="92">
        <f t="shared" si="28"/>
        <v>1.4037981589556812</v>
      </c>
      <c r="S239" s="92">
        <f t="shared" si="29"/>
        <v>7.0765470950520397</v>
      </c>
      <c r="T239">
        <f>IF(N239-'Atsipirkimo vertinimas'!$N$20&lt;0,0,1)</f>
        <v>1</v>
      </c>
      <c r="U239">
        <f>IF(N239-'Atsipirkimo vertinimas'!$N$20&gt;=0,0,1)</f>
        <v>0</v>
      </c>
      <c r="V239" s="92"/>
      <c r="W239" s="92"/>
      <c r="X239" s="88"/>
    </row>
    <row r="240" spans="3:24" x14ac:dyDescent="0.25">
      <c r="C240" s="88">
        <v>236</v>
      </c>
      <c r="D240" s="92">
        <f t="shared" si="24"/>
        <v>1.0464351851851816</v>
      </c>
      <c r="E240" s="92">
        <f>IF(H240=0,0,G240*('Atsipirkimo vertinimas'!$N$19)/12)</f>
        <v>1.5879629629625944E-2</v>
      </c>
      <c r="F240" s="92">
        <f>($G$4/('Atsipirkimo vertinimas'!$N$18*12-'Atsipirkimo vertinimas'!$N$20)*H240)</f>
        <v>0.97222222222222221</v>
      </c>
      <c r="G240" s="92">
        <f t="shared" si="27"/>
        <v>3.888888888887986</v>
      </c>
      <c r="H240">
        <f>IF(C240-'Atsipirkimo vertinimas'!$N$20&lt;0,0,1)</f>
        <v>1</v>
      </c>
      <c r="I240" s="92"/>
      <c r="J240" s="92">
        <f t="shared" si="25"/>
        <v>0</v>
      </c>
      <c r="K240" s="92"/>
      <c r="L240" s="88"/>
      <c r="N240" s="88">
        <v>236</v>
      </c>
      <c r="O240" s="92">
        <f t="shared" si="26"/>
        <v>1.4910273929271436</v>
      </c>
      <c r="P240" s="92">
        <f>IF($Z$64&lt;S240+(S240*(('Atsipirkimo vertinimas'!$N$19)/12)),($Z$64*T240)+(Q240*U240),S240+(S240*(('Atsipirkimo vertinimas'!$N$19)/12)))</f>
        <v>1.4326940595938102</v>
      </c>
      <c r="Q240" s="92">
        <f>IF(T240=0,0,S240*('Atsipirkimo vertinimas'!$N$19)/12)</f>
        <v>2.3163724822393466E-2</v>
      </c>
      <c r="R240" s="92">
        <f t="shared" si="28"/>
        <v>1.4095303347714168</v>
      </c>
      <c r="S240" s="92">
        <f t="shared" si="29"/>
        <v>5.6727489360963581</v>
      </c>
      <c r="T240">
        <f>IF(N240-'Atsipirkimo vertinimas'!$N$20&lt;0,0,1)</f>
        <v>1</v>
      </c>
      <c r="U240">
        <f>IF(N240-'Atsipirkimo vertinimas'!$N$20&gt;=0,0,1)</f>
        <v>0</v>
      </c>
      <c r="V240" s="92"/>
      <c r="W240" s="92"/>
      <c r="X240" s="88"/>
    </row>
    <row r="241" spans="3:24" x14ac:dyDescent="0.25">
      <c r="C241" s="88">
        <v>237</v>
      </c>
      <c r="D241" s="92">
        <f t="shared" si="24"/>
        <v>1.0424652777777741</v>
      </c>
      <c r="E241" s="92">
        <f>IF(H241=0,0,G241*('Atsipirkimo vertinimas'!$N$19)/12)</f>
        <v>1.1909722222218535E-2</v>
      </c>
      <c r="F241" s="92">
        <f>($G$4/('Atsipirkimo vertinimas'!$N$18*12-'Atsipirkimo vertinimas'!$N$20)*H241)</f>
        <v>0.97222222222222221</v>
      </c>
      <c r="G241" s="92">
        <f t="shared" si="27"/>
        <v>2.9166666666657637</v>
      </c>
      <c r="H241">
        <f>IF(C241-'Atsipirkimo vertinimas'!$N$20&lt;0,0,1)</f>
        <v>1</v>
      </c>
      <c r="I241" s="92"/>
      <c r="J241" s="92">
        <f t="shared" si="25"/>
        <v>0</v>
      </c>
      <c r="K241" s="92"/>
      <c r="L241" s="88"/>
      <c r="N241" s="88">
        <v>237</v>
      </c>
      <c r="O241" s="92">
        <f t="shared" si="26"/>
        <v>1.4910273929271436</v>
      </c>
      <c r="P241" s="92">
        <f>IF($Z$64&lt;S241+(S241*(('Atsipirkimo vertinimas'!$N$19)/12)),($Z$64*T241)+(Q241*U241),S241+(S241*(('Atsipirkimo vertinimas'!$N$19)/12)))</f>
        <v>1.4326940595938102</v>
      </c>
      <c r="Q241" s="92">
        <f>IF(T241=0,0,S241*('Atsipirkimo vertinimas'!$N$19)/12)</f>
        <v>1.7408142622076843E-2</v>
      </c>
      <c r="R241" s="92">
        <f t="shared" si="28"/>
        <v>1.4152859169717333</v>
      </c>
      <c r="S241" s="92">
        <f t="shared" si="29"/>
        <v>4.2632186013249411</v>
      </c>
      <c r="T241">
        <f>IF(N241-'Atsipirkimo vertinimas'!$N$20&lt;0,0,1)</f>
        <v>1</v>
      </c>
      <c r="U241">
        <f>IF(N241-'Atsipirkimo vertinimas'!$N$20&gt;=0,0,1)</f>
        <v>0</v>
      </c>
      <c r="V241" s="92"/>
      <c r="W241" s="92"/>
      <c r="X241" s="88"/>
    </row>
    <row r="242" spans="3:24" x14ac:dyDescent="0.25">
      <c r="C242" s="88">
        <v>238</v>
      </c>
      <c r="D242" s="92">
        <f t="shared" si="24"/>
        <v>1.0384953703703668</v>
      </c>
      <c r="E242" s="92">
        <f>IF(H242=0,0,G242*('Atsipirkimo vertinimas'!$N$19)/12)</f>
        <v>7.9398148148111265E-3</v>
      </c>
      <c r="F242" s="92">
        <f>($G$4/('Atsipirkimo vertinimas'!$N$18*12-'Atsipirkimo vertinimas'!$N$20)*H242)</f>
        <v>0.97222222222222221</v>
      </c>
      <c r="G242" s="92">
        <f t="shared" si="27"/>
        <v>1.9444444444435414</v>
      </c>
      <c r="H242">
        <f>IF(C242-'Atsipirkimo vertinimas'!$N$20&lt;0,0,1)</f>
        <v>1</v>
      </c>
      <c r="I242" s="92"/>
      <c r="J242" s="92">
        <f t="shared" si="25"/>
        <v>0</v>
      </c>
      <c r="K242" s="92"/>
      <c r="L242" s="88"/>
      <c r="N242" s="88">
        <v>238</v>
      </c>
      <c r="O242" s="92">
        <f t="shared" si="26"/>
        <v>1.4910273929271436</v>
      </c>
      <c r="P242" s="92">
        <f>IF($Z$64&lt;S242+(S242*(('Atsipirkimo vertinimas'!$N$19)/12)),($Z$64*T242)+(Q242*U242),S242+(S242*(('Atsipirkimo vertinimas'!$N$19)/12)))</f>
        <v>1.4326940595938102</v>
      </c>
      <c r="Q242" s="92">
        <f>IF(T242=0,0,S242*('Atsipirkimo vertinimas'!$N$19)/12)</f>
        <v>1.1629058461108933E-2</v>
      </c>
      <c r="R242" s="92">
        <f t="shared" si="28"/>
        <v>1.4210650011327013</v>
      </c>
      <c r="S242" s="92">
        <f t="shared" si="29"/>
        <v>2.847932684353208</v>
      </c>
      <c r="T242">
        <f>IF(N242-'Atsipirkimo vertinimas'!$N$20&lt;0,0,1)</f>
        <v>1</v>
      </c>
      <c r="U242">
        <f>IF(N242-'Atsipirkimo vertinimas'!$N$20&gt;=0,0,1)</f>
        <v>0</v>
      </c>
      <c r="V242" s="92"/>
      <c r="W242" s="92"/>
      <c r="X242" s="88"/>
    </row>
    <row r="243" spans="3:24" x14ac:dyDescent="0.25">
      <c r="C243" s="88">
        <v>239</v>
      </c>
      <c r="D243" s="92">
        <f>IF(H243=0,E243+F243,E243+F243+$K$4)</f>
        <v>1.0345254629629594</v>
      </c>
      <c r="E243" s="92">
        <f>IF(H243=0,0,G243*('Atsipirkimo vertinimas'!$N$19)/12)</f>
        <v>3.9699074074037201E-3</v>
      </c>
      <c r="F243" s="92">
        <f>($G$4/('Atsipirkimo vertinimas'!$N$18*12-'Atsipirkimo vertinimas'!$N$20)*H243)</f>
        <v>0.97222222222222221</v>
      </c>
      <c r="G243" s="92">
        <f t="shared" si="27"/>
        <v>0.97222222222131915</v>
      </c>
      <c r="H243">
        <f>IF(C243-'Atsipirkimo vertinimas'!$N$20&lt;0,0,1)</f>
        <v>1</v>
      </c>
      <c r="I243" s="92"/>
      <c r="J243" s="92">
        <f t="shared" si="25"/>
        <v>0</v>
      </c>
      <c r="K243" s="92"/>
      <c r="L243" s="91">
        <f>IF('Atsipirkimo vertinimas'!$N$18*12&gt;Grafikas!C243,SUM(D232:D243),0)</f>
        <v>12.676319444444399</v>
      </c>
      <c r="N243" s="88">
        <v>239</v>
      </c>
      <c r="O243" s="92">
        <f t="shared" si="26"/>
        <v>1.4910273929269904</v>
      </c>
      <c r="P243" s="92">
        <f>IF($Z$64&lt;S243+(S243*(('Atsipirkimo vertinimas'!$N$19)/12)),($Z$64*T243)+(Q243*U243),S243+(S243*(('Atsipirkimo vertinimas'!$N$19)/12)))</f>
        <v>1.432694059593657</v>
      </c>
      <c r="Q243" s="92">
        <f>IF(T243=0,0,S243*('Atsipirkimo vertinimas'!$N$19)/12)</f>
        <v>5.8263763731504032E-3</v>
      </c>
      <c r="R243" s="92">
        <f t="shared" si="28"/>
        <v>1.4268676832205067</v>
      </c>
      <c r="S243" s="92">
        <f t="shared" si="29"/>
        <v>1.4268676832205067</v>
      </c>
      <c r="T243">
        <f>IF(N243-'Atsipirkimo vertinimas'!$N$20&lt;0,0,1)</f>
        <v>1</v>
      </c>
      <c r="U243">
        <f>IF(N243-'Atsipirkimo vertinimas'!$N$20&gt;=0,0,1)</f>
        <v>0</v>
      </c>
      <c r="V243" s="92"/>
      <c r="W243" s="92"/>
      <c r="X243" s="91">
        <f>IF('Atsipirkimo vertinimas'!$N$18*12&gt;Grafikas!C243,SUM(O232:O243),0)</f>
        <v>17.892328715125572</v>
      </c>
    </row>
    <row r="244" spans="3:24" x14ac:dyDescent="0.25">
      <c r="C244" s="88">
        <v>240</v>
      </c>
      <c r="D244" s="92">
        <f t="shared" si="24"/>
        <v>1.0305555555555519</v>
      </c>
      <c r="E244" s="92">
        <f>IF(H244=0,0,G244*('Atsipirkimo vertinimas'!$N$19)/12)</f>
        <v>-3.6874762502729179E-15</v>
      </c>
      <c r="F244" s="92">
        <f>($G$4/('Atsipirkimo vertinimas'!$N$18*12-'Atsipirkimo vertinimas'!$N$20)*H244)</f>
        <v>0.97222222222222221</v>
      </c>
      <c r="G244" s="92">
        <f>(G243-F243)</f>
        <v>-9.0305540823010233E-13</v>
      </c>
      <c r="H244">
        <f>IF(C244-'Atsipirkimo vertinimas'!$N$20&lt;0,0,1)</f>
        <v>1</v>
      </c>
      <c r="I244" s="92"/>
      <c r="J244" s="92">
        <f t="shared" si="25"/>
        <v>0</v>
      </c>
      <c r="K244" s="92"/>
      <c r="L244" s="88"/>
      <c r="N244" s="88">
        <v>240</v>
      </c>
      <c r="O244" s="92">
        <f t="shared" si="26"/>
        <v>5.8333333333333355E-2</v>
      </c>
      <c r="P244" s="92">
        <f>IF($Z$64&lt;S244+(S244*(('Atsipirkimo vertinimas'!$N$19)/12)),($Z$64*T244)+(Q244*U244),S244+(S244*(('Atsipirkimo vertinimas'!$N$19)/12)))</f>
        <v>0</v>
      </c>
      <c r="Q244" s="92">
        <f>IF(T244=0,0,S244*('Atsipirkimo vertinimas'!$N$19)/12)</f>
        <v>0</v>
      </c>
      <c r="R244" s="92">
        <f t="shared" si="28"/>
        <v>0</v>
      </c>
      <c r="S244" s="92">
        <f t="shared" si="29"/>
        <v>0</v>
      </c>
      <c r="T244">
        <f>IF(N244-'Atsipirkimo vertinimas'!$N$20&lt;0,0,1)</f>
        <v>1</v>
      </c>
      <c r="U244">
        <f>IF(N244-'Atsipirkimo vertinimas'!$N$20&gt;=0,0,1)</f>
        <v>0</v>
      </c>
      <c r="V244" s="92"/>
      <c r="W244" s="92"/>
      <c r="X244" s="88"/>
    </row>
    <row r="245" spans="3:24" x14ac:dyDescent="0.25">
      <c r="C245" s="88">
        <v>241</v>
      </c>
      <c r="D245" s="92">
        <f t="shared" si="24"/>
        <v>1.0265856481481446</v>
      </c>
      <c r="E245" s="92">
        <f>IF(H245=0,0,G245*('Atsipirkimo vertinimas'!$N$19)/12)</f>
        <v>-3.9699074074110953E-3</v>
      </c>
      <c r="F245" s="92">
        <f>($G$4/('Atsipirkimo vertinimas'!$N$18*12-'Atsipirkimo vertinimas'!$N$20)*H245)</f>
        <v>0.97222222222222221</v>
      </c>
      <c r="G245" s="92">
        <f t="shared" si="27"/>
        <v>-0.97222222222312527</v>
      </c>
      <c r="H245">
        <f>IF(C245-'Atsipirkimo vertinimas'!$N$20&lt;0,0,1)</f>
        <v>1</v>
      </c>
      <c r="I245" s="92"/>
      <c r="J245" s="92">
        <f t="shared" si="25"/>
        <v>0</v>
      </c>
      <c r="K245" s="92"/>
      <c r="L245" s="88"/>
      <c r="N245" s="88">
        <v>241</v>
      </c>
      <c r="O245" s="92">
        <f t="shared" si="26"/>
        <v>5.8333333333333355E-2</v>
      </c>
      <c r="P245" s="92">
        <f>IF($Z$64&lt;S245+(S245*(('Atsipirkimo vertinimas'!$N$19)/12)),($Z$64*T245)+(Q245*U245),S245+(S245*(('Atsipirkimo vertinimas'!$N$19)/12)))</f>
        <v>0</v>
      </c>
      <c r="Q245" s="92">
        <f>IF(T245=0,0,S245*('Atsipirkimo vertinimas'!$N$19)/12)</f>
        <v>0</v>
      </c>
      <c r="R245" s="92">
        <f t="shared" si="28"/>
        <v>0</v>
      </c>
      <c r="S245" s="92">
        <f t="shared" si="29"/>
        <v>0</v>
      </c>
      <c r="T245">
        <f>IF(N245-'Atsipirkimo vertinimas'!$N$20&lt;0,0,1)</f>
        <v>1</v>
      </c>
      <c r="U245">
        <f>IF(N245-'Atsipirkimo vertinimas'!$N$20&gt;=0,0,1)</f>
        <v>0</v>
      </c>
      <c r="V245" s="92"/>
      <c r="W245" s="92"/>
      <c r="X245" s="88"/>
    </row>
    <row r="246" spans="3:24" x14ac:dyDescent="0.25">
      <c r="C246" s="88">
        <v>242</v>
      </c>
      <c r="D246" s="92">
        <f t="shared" si="24"/>
        <v>1.022615740740737</v>
      </c>
      <c r="E246" s="92">
        <f>IF(H246=0,0,G246*('Atsipirkimo vertinimas'!$N$19)/12)</f>
        <v>-7.9398148148185025E-3</v>
      </c>
      <c r="F246" s="92">
        <f>($G$4/('Atsipirkimo vertinimas'!$N$18*12-'Atsipirkimo vertinimas'!$N$20)*H246)</f>
        <v>0.97222222222222221</v>
      </c>
      <c r="G246" s="92">
        <f t="shared" si="27"/>
        <v>-1.9444444444453475</v>
      </c>
      <c r="H246">
        <f>IF(C246-'Atsipirkimo vertinimas'!$N$20&lt;0,0,1)</f>
        <v>1</v>
      </c>
      <c r="I246" s="92"/>
      <c r="J246" s="92">
        <f t="shared" si="25"/>
        <v>0</v>
      </c>
      <c r="K246" s="92"/>
      <c r="L246" s="88"/>
      <c r="N246" s="88">
        <v>242</v>
      </c>
      <c r="O246" s="92">
        <f t="shared" si="26"/>
        <v>5.8333333333333355E-2</v>
      </c>
      <c r="P246" s="92">
        <f>IF($Z$64&lt;S246+(S246*(('Atsipirkimo vertinimas'!$N$19)/12)),($Z$64*T246)+(Q246*U246),S246+(S246*(('Atsipirkimo vertinimas'!$N$19)/12)))</f>
        <v>0</v>
      </c>
      <c r="Q246" s="92">
        <f>IF(T246=0,0,S246*('Atsipirkimo vertinimas'!$N$19)/12)</f>
        <v>0</v>
      </c>
      <c r="R246" s="92">
        <f t="shared" si="28"/>
        <v>0</v>
      </c>
      <c r="S246" s="92">
        <f t="shared" si="29"/>
        <v>0</v>
      </c>
      <c r="T246">
        <f>IF(N246-'Atsipirkimo vertinimas'!$N$20&lt;0,0,1)</f>
        <v>1</v>
      </c>
      <c r="U246">
        <f>IF(N246-'Atsipirkimo vertinimas'!$N$20&gt;=0,0,1)</f>
        <v>0</v>
      </c>
      <c r="V246" s="92"/>
      <c r="W246" s="92"/>
      <c r="X246" s="88"/>
    </row>
    <row r="247" spans="3:24" x14ac:dyDescent="0.25">
      <c r="C247" s="88">
        <v>243</v>
      </c>
      <c r="D247" s="92">
        <f t="shared" si="24"/>
        <v>1.0186458333333297</v>
      </c>
      <c r="E247" s="92">
        <f>IF(H247=0,0,G247*('Atsipirkimo vertinimas'!$N$19)/12)</f>
        <v>-1.1909722222225911E-2</v>
      </c>
      <c r="F247" s="92">
        <f>($G$4/('Atsipirkimo vertinimas'!$N$18*12-'Atsipirkimo vertinimas'!$N$20)*H247)</f>
        <v>0.97222222222222221</v>
      </c>
      <c r="G247" s="92">
        <f t="shared" si="27"/>
        <v>-2.9166666666675698</v>
      </c>
      <c r="H247">
        <f>IF(C247-'Atsipirkimo vertinimas'!$N$20&lt;0,0,1)</f>
        <v>1</v>
      </c>
      <c r="I247" s="92"/>
      <c r="J247" s="92">
        <f t="shared" si="25"/>
        <v>0</v>
      </c>
      <c r="K247" s="92"/>
      <c r="L247" s="88"/>
      <c r="N247" s="88">
        <v>243</v>
      </c>
      <c r="O247" s="92">
        <f t="shared" si="26"/>
        <v>5.8333333333333355E-2</v>
      </c>
      <c r="P247" s="92">
        <f>IF($Z$64&lt;S247+(S247*(('Atsipirkimo vertinimas'!$N$19)/12)),($Z$64*T247)+(Q247*U247),S247+(S247*(('Atsipirkimo vertinimas'!$N$19)/12)))</f>
        <v>0</v>
      </c>
      <c r="Q247" s="92">
        <f>IF(T247=0,0,S247*('Atsipirkimo vertinimas'!$N$19)/12)</f>
        <v>0</v>
      </c>
      <c r="R247" s="92">
        <f t="shared" si="28"/>
        <v>0</v>
      </c>
      <c r="S247" s="92">
        <f t="shared" si="29"/>
        <v>0</v>
      </c>
      <c r="T247">
        <f>IF(N247-'Atsipirkimo vertinimas'!$N$20&lt;0,0,1)</f>
        <v>1</v>
      </c>
      <c r="U247">
        <f>IF(N247-'Atsipirkimo vertinimas'!$N$20&gt;=0,0,1)</f>
        <v>0</v>
      </c>
      <c r="V247" s="92"/>
      <c r="W247" s="92"/>
      <c r="X247" s="88"/>
    </row>
    <row r="248" spans="3:24" x14ac:dyDescent="0.25">
      <c r="C248" s="88">
        <v>244</v>
      </c>
      <c r="D248" s="92">
        <f t="shared" si="24"/>
        <v>1.0146759259259224</v>
      </c>
      <c r="E248" s="92">
        <f>IF(H248=0,0,G248*('Atsipirkimo vertinimas'!$N$19)/12)</f>
        <v>-1.587962962963332E-2</v>
      </c>
      <c r="F248" s="92">
        <f>($G$4/('Atsipirkimo vertinimas'!$N$18*12-'Atsipirkimo vertinimas'!$N$20)*H248)</f>
        <v>0.97222222222222221</v>
      </c>
      <c r="G248" s="92">
        <f t="shared" si="27"/>
        <v>-3.8888888888897921</v>
      </c>
      <c r="H248">
        <f>IF(C248-'Atsipirkimo vertinimas'!$N$20&lt;0,0,1)</f>
        <v>1</v>
      </c>
      <c r="I248" s="92"/>
      <c r="J248" s="92">
        <f t="shared" si="25"/>
        <v>0</v>
      </c>
      <c r="K248" s="92"/>
      <c r="L248" s="88"/>
      <c r="N248" s="88">
        <v>244</v>
      </c>
      <c r="O248" s="92">
        <f t="shared" si="26"/>
        <v>5.8333333333333355E-2</v>
      </c>
      <c r="P248" s="92">
        <f>IF($Z$64&lt;S248+(S248*(('Atsipirkimo vertinimas'!$N$19)/12)),($Z$64*T248)+(Q248*U248),S248+(S248*(('Atsipirkimo vertinimas'!$N$19)/12)))</f>
        <v>0</v>
      </c>
      <c r="Q248" s="92">
        <f>IF(T248=0,0,S248*('Atsipirkimo vertinimas'!$N$19)/12)</f>
        <v>0</v>
      </c>
      <c r="R248" s="92">
        <f t="shared" si="28"/>
        <v>0</v>
      </c>
      <c r="S248" s="92">
        <f t="shared" si="29"/>
        <v>0</v>
      </c>
      <c r="T248">
        <f>IF(N248-'Atsipirkimo vertinimas'!$N$20&lt;0,0,1)</f>
        <v>1</v>
      </c>
      <c r="U248">
        <f>IF(N248-'Atsipirkimo vertinimas'!$N$20&gt;=0,0,1)</f>
        <v>0</v>
      </c>
      <c r="V248" s="92"/>
      <c r="W248" s="92"/>
      <c r="X248" s="88"/>
    </row>
    <row r="249" spans="3:24" x14ac:dyDescent="0.25">
      <c r="C249" s="88">
        <v>245</v>
      </c>
      <c r="D249" s="92">
        <f t="shared" si="24"/>
        <v>1.0107060185185148</v>
      </c>
      <c r="E249" s="92">
        <f>IF(H249=0,0,G249*('Atsipirkimo vertinimas'!$N$19)/12)</f>
        <v>-1.9849537037040725E-2</v>
      </c>
      <c r="F249" s="92">
        <f>($G$4/('Atsipirkimo vertinimas'!$N$18*12-'Atsipirkimo vertinimas'!$N$20)*H249)</f>
        <v>0.97222222222222221</v>
      </c>
      <c r="G249" s="92">
        <f t="shared" si="27"/>
        <v>-4.861111111112014</v>
      </c>
      <c r="H249">
        <f>IF(C249-'Atsipirkimo vertinimas'!$N$20&lt;0,0,1)</f>
        <v>1</v>
      </c>
      <c r="I249" s="92"/>
      <c r="J249" s="92">
        <f t="shared" si="25"/>
        <v>0</v>
      </c>
      <c r="K249" s="92"/>
      <c r="L249" s="88"/>
      <c r="N249" s="88">
        <v>245</v>
      </c>
      <c r="O249" s="92">
        <f t="shared" si="26"/>
        <v>5.8333333333333355E-2</v>
      </c>
      <c r="P249" s="92">
        <f>IF($Z$64&lt;S249+(S249*(('Atsipirkimo vertinimas'!$N$19)/12)),($Z$64*T249)+(Q249*U249),S249+(S249*(('Atsipirkimo vertinimas'!$N$19)/12)))</f>
        <v>0</v>
      </c>
      <c r="Q249" s="92">
        <f>IF(T249=0,0,S249*('Atsipirkimo vertinimas'!$N$19)/12)</f>
        <v>0</v>
      </c>
      <c r="R249" s="92">
        <f t="shared" si="28"/>
        <v>0</v>
      </c>
      <c r="S249" s="92">
        <f t="shared" si="29"/>
        <v>0</v>
      </c>
      <c r="T249">
        <f>IF(N249-'Atsipirkimo vertinimas'!$N$20&lt;0,0,1)</f>
        <v>1</v>
      </c>
      <c r="U249">
        <f>IF(N249-'Atsipirkimo vertinimas'!$N$20&gt;=0,0,1)</f>
        <v>0</v>
      </c>
      <c r="V249" s="92"/>
      <c r="W249" s="92"/>
      <c r="X249" s="88"/>
    </row>
    <row r="250" spans="3:24" x14ac:dyDescent="0.25">
      <c r="C250" s="88">
        <v>246</v>
      </c>
      <c r="D250" s="92">
        <f t="shared" si="24"/>
        <v>1.0067361111111075</v>
      </c>
      <c r="E250" s="92">
        <f>IF(H250=0,0,G250*('Atsipirkimo vertinimas'!$N$19)/12)</f>
        <v>-2.381944444444813E-2</v>
      </c>
      <c r="F250" s="92">
        <f>($G$4/('Atsipirkimo vertinimas'!$N$18*12-'Atsipirkimo vertinimas'!$N$20)*H250)</f>
        <v>0.97222222222222221</v>
      </c>
      <c r="G250" s="92">
        <f t="shared" si="27"/>
        <v>-5.8333333333342363</v>
      </c>
      <c r="H250">
        <f>IF(C250-'Atsipirkimo vertinimas'!$N$20&lt;0,0,1)</f>
        <v>1</v>
      </c>
      <c r="I250" s="92"/>
      <c r="J250" s="92">
        <f t="shared" si="25"/>
        <v>0</v>
      </c>
      <c r="K250" s="92"/>
      <c r="L250" s="88"/>
      <c r="N250" s="88">
        <v>246</v>
      </c>
      <c r="O250" s="92">
        <f t="shared" si="26"/>
        <v>5.8333333333333355E-2</v>
      </c>
      <c r="P250" s="92">
        <f>IF($Z$64&lt;S250+(S250*(('Atsipirkimo vertinimas'!$N$19)/12)),($Z$64*T250)+(Q250*U250),S250+(S250*(('Atsipirkimo vertinimas'!$N$19)/12)))</f>
        <v>0</v>
      </c>
      <c r="Q250" s="92">
        <f>IF(T250=0,0,S250*('Atsipirkimo vertinimas'!$N$19)/12)</f>
        <v>0</v>
      </c>
      <c r="R250" s="92">
        <f t="shared" si="28"/>
        <v>0</v>
      </c>
      <c r="S250" s="92">
        <f t="shared" si="29"/>
        <v>0</v>
      </c>
      <c r="T250">
        <f>IF(N250-'Atsipirkimo vertinimas'!$N$20&lt;0,0,1)</f>
        <v>1</v>
      </c>
      <c r="U250">
        <f>IF(N250-'Atsipirkimo vertinimas'!$N$20&gt;=0,0,1)</f>
        <v>0</v>
      </c>
      <c r="V250" s="92"/>
      <c r="W250" s="92"/>
      <c r="X250" s="88"/>
    </row>
    <row r="251" spans="3:24" x14ac:dyDescent="0.25">
      <c r="C251" s="88">
        <v>247</v>
      </c>
      <c r="D251" s="92">
        <f t="shared" si="24"/>
        <v>1.0027662037037002</v>
      </c>
      <c r="E251" s="92">
        <f>IF(H251=0,0,G251*('Atsipirkimo vertinimas'!$N$19)/12)</f>
        <v>-2.7789351851855538E-2</v>
      </c>
      <c r="F251" s="92">
        <f>($G$4/('Atsipirkimo vertinimas'!$N$18*12-'Atsipirkimo vertinimas'!$N$20)*H251)</f>
        <v>0.97222222222222221</v>
      </c>
      <c r="G251" s="92">
        <f t="shared" si="27"/>
        <v>-6.8055555555564586</v>
      </c>
      <c r="H251">
        <f>IF(C251-'Atsipirkimo vertinimas'!$N$20&lt;0,0,1)</f>
        <v>1</v>
      </c>
      <c r="I251" s="92"/>
      <c r="J251" s="92">
        <f t="shared" si="25"/>
        <v>0</v>
      </c>
      <c r="K251" s="92"/>
      <c r="L251" s="88"/>
      <c r="N251" s="88">
        <v>247</v>
      </c>
      <c r="O251" s="92">
        <f t="shared" si="26"/>
        <v>5.8333333333333355E-2</v>
      </c>
      <c r="P251" s="92">
        <f>IF($Z$64&lt;S251+(S251*(('Atsipirkimo vertinimas'!$N$19)/12)),($Z$64*T251)+(Q251*U251),S251+(S251*(('Atsipirkimo vertinimas'!$N$19)/12)))</f>
        <v>0</v>
      </c>
      <c r="Q251" s="92">
        <f>IF(T251=0,0,S251*('Atsipirkimo vertinimas'!$N$19)/12)</f>
        <v>0</v>
      </c>
      <c r="R251" s="92">
        <f t="shared" si="28"/>
        <v>0</v>
      </c>
      <c r="S251" s="92">
        <f t="shared" si="29"/>
        <v>0</v>
      </c>
      <c r="T251">
        <f>IF(N251-'Atsipirkimo vertinimas'!$N$20&lt;0,0,1)</f>
        <v>1</v>
      </c>
      <c r="U251">
        <f>IF(N251-'Atsipirkimo vertinimas'!$N$20&gt;=0,0,1)</f>
        <v>0</v>
      </c>
      <c r="V251" s="92"/>
      <c r="W251" s="92"/>
      <c r="X251" s="88"/>
    </row>
    <row r="252" spans="3:24" x14ac:dyDescent="0.25">
      <c r="C252" s="88">
        <v>248</v>
      </c>
      <c r="D252" s="92">
        <f t="shared" si="24"/>
        <v>0.99879629629629263</v>
      </c>
      <c r="E252" s="92">
        <f>IF(H252=0,0,G252*('Atsipirkimo vertinimas'!$N$19)/12)</f>
        <v>-3.1759259259262949E-2</v>
      </c>
      <c r="F252" s="92">
        <f>($G$4/('Atsipirkimo vertinimas'!$N$18*12-'Atsipirkimo vertinimas'!$N$20)*H252)</f>
        <v>0.97222222222222221</v>
      </c>
      <c r="G252" s="92">
        <f t="shared" si="27"/>
        <v>-7.777777777778681</v>
      </c>
      <c r="H252">
        <f>IF(C252-'Atsipirkimo vertinimas'!$N$20&lt;0,0,1)</f>
        <v>1</v>
      </c>
      <c r="I252" s="92"/>
      <c r="J252" s="92">
        <f t="shared" si="25"/>
        <v>0</v>
      </c>
      <c r="K252" s="92"/>
      <c r="L252" s="88"/>
      <c r="N252" s="88">
        <v>248</v>
      </c>
      <c r="O252" s="92">
        <f t="shared" si="26"/>
        <v>5.8333333333333355E-2</v>
      </c>
      <c r="P252" s="92">
        <f>IF($Z$64&lt;S252+(S252*(('Atsipirkimo vertinimas'!$N$19)/12)),($Z$64*T252)+(Q252*U252),S252+(S252*(('Atsipirkimo vertinimas'!$N$19)/12)))</f>
        <v>0</v>
      </c>
      <c r="Q252" s="92">
        <f>IF(T252=0,0,S252*('Atsipirkimo vertinimas'!$N$19)/12)</f>
        <v>0</v>
      </c>
      <c r="R252" s="92">
        <f t="shared" si="28"/>
        <v>0</v>
      </c>
      <c r="S252" s="92">
        <f t="shared" si="29"/>
        <v>0</v>
      </c>
      <c r="T252">
        <f>IF(N252-'Atsipirkimo vertinimas'!$N$20&lt;0,0,1)</f>
        <v>1</v>
      </c>
      <c r="U252">
        <f>IF(N252-'Atsipirkimo vertinimas'!$N$20&gt;=0,0,1)</f>
        <v>0</v>
      </c>
      <c r="V252" s="92"/>
      <c r="W252" s="92"/>
      <c r="X252" s="88"/>
    </row>
    <row r="253" spans="3:24" x14ac:dyDescent="0.25">
      <c r="C253" s="88">
        <v>249</v>
      </c>
      <c r="D253" s="92">
        <f t="shared" si="24"/>
        <v>0.99482638888888519</v>
      </c>
      <c r="E253" s="92">
        <f>IF(H253=0,0,G253*('Atsipirkimo vertinimas'!$N$19)/12)</f>
        <v>-3.5729166666670351E-2</v>
      </c>
      <c r="F253" s="92">
        <f>($G$4/('Atsipirkimo vertinimas'!$N$18*12-'Atsipirkimo vertinimas'!$N$20)*H253)</f>
        <v>0.97222222222222221</v>
      </c>
      <c r="G253" s="92">
        <f t="shared" si="27"/>
        <v>-8.7500000000009024</v>
      </c>
      <c r="H253">
        <f>IF(C253-'Atsipirkimo vertinimas'!$N$20&lt;0,0,1)</f>
        <v>1</v>
      </c>
      <c r="I253" s="92"/>
      <c r="J253" s="92">
        <f t="shared" si="25"/>
        <v>0</v>
      </c>
      <c r="K253" s="92"/>
      <c r="L253" s="88"/>
      <c r="N253" s="88">
        <v>249</v>
      </c>
      <c r="O253" s="92">
        <f t="shared" si="26"/>
        <v>5.8333333333333355E-2</v>
      </c>
      <c r="P253" s="92">
        <f>IF($Z$64&lt;S253+(S253*(('Atsipirkimo vertinimas'!$N$19)/12)),($Z$64*T253)+(Q253*U253),S253+(S253*(('Atsipirkimo vertinimas'!$N$19)/12)))</f>
        <v>0</v>
      </c>
      <c r="Q253" s="92">
        <f>IF(T253=0,0,S253*('Atsipirkimo vertinimas'!$N$19)/12)</f>
        <v>0</v>
      </c>
      <c r="R253" s="92">
        <f t="shared" si="28"/>
        <v>0</v>
      </c>
      <c r="S253" s="92">
        <f t="shared" si="29"/>
        <v>0</v>
      </c>
      <c r="T253">
        <f>IF(N253-'Atsipirkimo vertinimas'!$N$20&lt;0,0,1)</f>
        <v>1</v>
      </c>
      <c r="U253">
        <f>IF(N253-'Atsipirkimo vertinimas'!$N$20&gt;=0,0,1)</f>
        <v>0</v>
      </c>
      <c r="V253" s="92"/>
      <c r="W253" s="92"/>
      <c r="X253" s="88"/>
    </row>
    <row r="254" spans="3:24" x14ac:dyDescent="0.25">
      <c r="C254" s="88">
        <v>250</v>
      </c>
      <c r="D254" s="92">
        <f t="shared" si="24"/>
        <v>0.99085648148147776</v>
      </c>
      <c r="E254" s="92">
        <f>IF(H254=0,0,G254*('Atsipirkimo vertinimas'!$N$19)/12)</f>
        <v>-3.9699074074077759E-2</v>
      </c>
      <c r="F254" s="92">
        <f>($G$4/('Atsipirkimo vertinimas'!$N$18*12-'Atsipirkimo vertinimas'!$N$20)*H254)</f>
        <v>0.97222222222222221</v>
      </c>
      <c r="G254" s="92">
        <f t="shared" si="27"/>
        <v>-9.7222222222231238</v>
      </c>
      <c r="H254">
        <f>IF(C254-'Atsipirkimo vertinimas'!$N$20&lt;0,0,1)</f>
        <v>1</v>
      </c>
      <c r="I254" s="92"/>
      <c r="J254" s="92">
        <f t="shared" si="25"/>
        <v>0</v>
      </c>
      <c r="K254" s="92"/>
      <c r="L254" s="88"/>
      <c r="N254" s="88">
        <v>250</v>
      </c>
      <c r="O254" s="92">
        <f t="shared" si="26"/>
        <v>5.8333333333333355E-2</v>
      </c>
      <c r="P254" s="92">
        <f>IF($Z$64&lt;S254+(S254*(('Atsipirkimo vertinimas'!$N$19)/12)),($Z$64*T254)+(Q254*U254),S254+(S254*(('Atsipirkimo vertinimas'!$N$19)/12)))</f>
        <v>0</v>
      </c>
      <c r="Q254" s="92">
        <f>IF(T254=0,0,S254*('Atsipirkimo vertinimas'!$N$19)/12)</f>
        <v>0</v>
      </c>
      <c r="R254" s="92">
        <f t="shared" si="28"/>
        <v>0</v>
      </c>
      <c r="S254" s="92">
        <f t="shared" si="29"/>
        <v>0</v>
      </c>
      <c r="T254">
        <f>IF(N254-'Atsipirkimo vertinimas'!$N$20&lt;0,0,1)</f>
        <v>1</v>
      </c>
      <c r="U254">
        <f>IF(N254-'Atsipirkimo vertinimas'!$N$20&gt;=0,0,1)</f>
        <v>0</v>
      </c>
      <c r="V254" s="92"/>
      <c r="W254" s="92"/>
      <c r="X254" s="88"/>
    </row>
    <row r="255" spans="3:24" x14ac:dyDescent="0.25">
      <c r="C255" s="88">
        <v>251</v>
      </c>
      <c r="D255" s="92">
        <f t="shared" si="24"/>
        <v>0.98688657407407043</v>
      </c>
      <c r="E255" s="92">
        <f>IF(H255=0,0,G255*('Atsipirkimo vertinimas'!$N$19)/12)</f>
        <v>-4.366898148148516E-2</v>
      </c>
      <c r="F255" s="92">
        <f>($G$4/('Atsipirkimo vertinimas'!$N$18*12-'Atsipirkimo vertinimas'!$N$20)*H255)</f>
        <v>0.97222222222222221</v>
      </c>
      <c r="G255" s="92">
        <f t="shared" si="27"/>
        <v>-10.694444444445345</v>
      </c>
      <c r="H255">
        <f>IF(C255-'Atsipirkimo vertinimas'!$N$20&lt;0,0,1)</f>
        <v>1</v>
      </c>
      <c r="I255" s="92"/>
      <c r="J255" s="92">
        <f t="shared" si="25"/>
        <v>0</v>
      </c>
      <c r="K255" s="92"/>
      <c r="L255" s="91">
        <f>IF('Atsipirkimo vertinimas'!$N$18*12&gt;Grafikas!C255,SUM(D244:D255),0)</f>
        <v>0</v>
      </c>
      <c r="N255" s="88">
        <v>251</v>
      </c>
      <c r="O255" s="92">
        <f t="shared" si="26"/>
        <v>5.8333333333333355E-2</v>
      </c>
      <c r="P255" s="92">
        <f>IF($Z$64&lt;S255+(S255*(('Atsipirkimo vertinimas'!$N$19)/12)),($Z$64*T255)+(Q255*U255),S255+(S255*(('Atsipirkimo vertinimas'!$N$19)/12)))</f>
        <v>0</v>
      </c>
      <c r="Q255" s="92">
        <f>IF(T255=0,0,S255*('Atsipirkimo vertinimas'!$N$19)/12)</f>
        <v>0</v>
      </c>
      <c r="R255" s="92">
        <f t="shared" si="28"/>
        <v>0</v>
      </c>
      <c r="S255" s="92">
        <f t="shared" si="29"/>
        <v>0</v>
      </c>
      <c r="T255">
        <f>IF(N255-'Atsipirkimo vertinimas'!$N$20&lt;0,0,1)</f>
        <v>1</v>
      </c>
      <c r="U255">
        <f>IF(N255-'Atsipirkimo vertinimas'!$N$20&gt;=0,0,1)</f>
        <v>0</v>
      </c>
      <c r="V255" s="92"/>
      <c r="W255" s="92"/>
      <c r="X255" s="91">
        <f>IF('Atsipirkimo vertinimas'!$N$18*12&gt;Grafikas!C255,SUM(O244:O255),0)</f>
        <v>0</v>
      </c>
    </row>
    <row r="256" spans="3:24" x14ac:dyDescent="0.25">
      <c r="C256" s="88">
        <v>252</v>
      </c>
      <c r="D256" s="92">
        <f t="shared" si="24"/>
        <v>0.982916666666663</v>
      </c>
      <c r="E256" s="92">
        <f>IF(H256=0,0,G256*('Atsipirkimo vertinimas'!$N$19)/12)</f>
        <v>-4.7638888888892568E-2</v>
      </c>
      <c r="F256" s="92">
        <f>($G$4/('Atsipirkimo vertinimas'!$N$18*12-'Atsipirkimo vertinimas'!$N$20)*H256)</f>
        <v>0.97222222222222221</v>
      </c>
      <c r="G256" s="92">
        <f t="shared" si="27"/>
        <v>-11.666666666667567</v>
      </c>
      <c r="H256">
        <f>IF(C256-'Atsipirkimo vertinimas'!$N$20&lt;0,0,1)</f>
        <v>1</v>
      </c>
      <c r="I256" s="92"/>
      <c r="J256" s="92">
        <f t="shared" si="25"/>
        <v>0</v>
      </c>
      <c r="K256" s="92"/>
      <c r="L256" s="88"/>
      <c r="N256" s="88">
        <v>252</v>
      </c>
      <c r="O256" s="92">
        <f t="shared" si="26"/>
        <v>5.8333333333333355E-2</v>
      </c>
      <c r="P256" s="92">
        <f>IF($Z$64&lt;S256+(S256*(('Atsipirkimo vertinimas'!$N$19)/12)),($Z$64*T256)+(Q256*U256),S256+(S256*(('Atsipirkimo vertinimas'!$N$19)/12)))</f>
        <v>0</v>
      </c>
      <c r="Q256" s="92">
        <f>IF(T256=0,0,S256*('Atsipirkimo vertinimas'!$N$19)/12)</f>
        <v>0</v>
      </c>
      <c r="R256" s="92">
        <f t="shared" si="28"/>
        <v>0</v>
      </c>
      <c r="S256" s="92">
        <f t="shared" si="29"/>
        <v>0</v>
      </c>
      <c r="T256">
        <f>IF(N256-'Atsipirkimo vertinimas'!$N$20&lt;0,0,1)</f>
        <v>1</v>
      </c>
      <c r="U256">
        <f>IF(N256-'Atsipirkimo vertinimas'!$N$20&gt;=0,0,1)</f>
        <v>0</v>
      </c>
      <c r="V256" s="92"/>
      <c r="W256" s="92"/>
      <c r="X256" s="88"/>
    </row>
    <row r="257" spans="3:24" x14ac:dyDescent="0.25">
      <c r="C257" s="88">
        <v>253</v>
      </c>
      <c r="D257" s="92">
        <f t="shared" si="24"/>
        <v>0.97894675925925556</v>
      </c>
      <c r="E257" s="92">
        <f>IF(H257=0,0,G257*('Atsipirkimo vertinimas'!$N$19)/12)</f>
        <v>-5.1608796296299969E-2</v>
      </c>
      <c r="F257" s="92">
        <f>($G$4/('Atsipirkimo vertinimas'!$N$18*12-'Atsipirkimo vertinimas'!$N$20)*H257)</f>
        <v>0.97222222222222221</v>
      </c>
      <c r="G257" s="92">
        <f t="shared" si="27"/>
        <v>-12.638888888889788</v>
      </c>
      <c r="H257">
        <f>IF(C257-'Atsipirkimo vertinimas'!$N$20&lt;0,0,1)</f>
        <v>1</v>
      </c>
      <c r="I257" s="92"/>
      <c r="J257" s="92">
        <f t="shared" si="25"/>
        <v>0</v>
      </c>
      <c r="K257" s="92"/>
      <c r="L257" s="88"/>
      <c r="N257" s="88">
        <v>253</v>
      </c>
      <c r="O257" s="92">
        <f t="shared" si="26"/>
        <v>5.8333333333333355E-2</v>
      </c>
      <c r="P257" s="92">
        <f>IF($Z$64&lt;S257+(S257*(('Atsipirkimo vertinimas'!$N$19)/12)),($Z$64*T257)+(Q257*U257),S257+(S257*(('Atsipirkimo vertinimas'!$N$19)/12)))</f>
        <v>0</v>
      </c>
      <c r="Q257" s="92">
        <f>IF(T257=0,0,S257*('Atsipirkimo vertinimas'!$N$19)/12)</f>
        <v>0</v>
      </c>
      <c r="R257" s="92">
        <f t="shared" si="28"/>
        <v>0</v>
      </c>
      <c r="S257" s="92">
        <f t="shared" si="29"/>
        <v>0</v>
      </c>
      <c r="T257">
        <f>IF(N257-'Atsipirkimo vertinimas'!$N$20&lt;0,0,1)</f>
        <v>1</v>
      </c>
      <c r="U257">
        <f>IF(N257-'Atsipirkimo vertinimas'!$N$20&gt;=0,0,1)</f>
        <v>0</v>
      </c>
      <c r="V257" s="92"/>
      <c r="W257" s="92"/>
      <c r="X257" s="88"/>
    </row>
    <row r="258" spans="3:24" x14ac:dyDescent="0.25">
      <c r="C258" s="88">
        <v>254</v>
      </c>
      <c r="D258" s="92">
        <f t="shared" si="24"/>
        <v>0.97497685185184824</v>
      </c>
      <c r="E258" s="92">
        <f>IF(H258=0,0,G258*('Atsipirkimo vertinimas'!$N$19)/12)</f>
        <v>-5.5578703703707377E-2</v>
      </c>
      <c r="F258" s="92">
        <f>($G$4/('Atsipirkimo vertinimas'!$N$18*12-'Atsipirkimo vertinimas'!$N$20)*H258)</f>
        <v>0.97222222222222221</v>
      </c>
      <c r="G258" s="92">
        <f t="shared" si="27"/>
        <v>-13.61111111111201</v>
      </c>
      <c r="H258">
        <f>IF(C258-'Atsipirkimo vertinimas'!$N$20&lt;0,0,1)</f>
        <v>1</v>
      </c>
      <c r="I258" s="92"/>
      <c r="J258" s="92">
        <f t="shared" si="25"/>
        <v>0</v>
      </c>
      <c r="K258" s="92"/>
      <c r="L258" s="88"/>
      <c r="N258" s="88">
        <v>254</v>
      </c>
      <c r="O258" s="92">
        <f t="shared" si="26"/>
        <v>5.8333333333333355E-2</v>
      </c>
      <c r="P258" s="92">
        <f>IF($Z$64&lt;S258+(S258*(('Atsipirkimo vertinimas'!$N$19)/12)),($Z$64*T258)+(Q258*U258),S258+(S258*(('Atsipirkimo vertinimas'!$N$19)/12)))</f>
        <v>0</v>
      </c>
      <c r="Q258" s="92">
        <f>IF(T258=0,0,S258*('Atsipirkimo vertinimas'!$N$19)/12)</f>
        <v>0</v>
      </c>
      <c r="R258" s="92">
        <f t="shared" si="28"/>
        <v>0</v>
      </c>
      <c r="S258" s="92">
        <f t="shared" si="29"/>
        <v>0</v>
      </c>
      <c r="T258">
        <f>IF(N258-'Atsipirkimo vertinimas'!$N$20&lt;0,0,1)</f>
        <v>1</v>
      </c>
      <c r="U258">
        <f>IF(N258-'Atsipirkimo vertinimas'!$N$20&gt;=0,0,1)</f>
        <v>0</v>
      </c>
      <c r="V258" s="92"/>
      <c r="W258" s="92"/>
      <c r="X258" s="88"/>
    </row>
    <row r="259" spans="3:24" x14ac:dyDescent="0.25">
      <c r="C259" s="88">
        <v>255</v>
      </c>
      <c r="D259" s="92">
        <f t="shared" si="24"/>
        <v>0.9710069444444408</v>
      </c>
      <c r="E259" s="92">
        <f>IF(H259=0,0,G259*('Atsipirkimo vertinimas'!$N$19)/12)</f>
        <v>-5.9548611111114778E-2</v>
      </c>
      <c r="F259" s="92">
        <f>($G$4/('Atsipirkimo vertinimas'!$N$18*12-'Atsipirkimo vertinimas'!$N$20)*H259)</f>
        <v>0.97222222222222221</v>
      </c>
      <c r="G259" s="92">
        <f t="shared" si="27"/>
        <v>-14.583333333334231</v>
      </c>
      <c r="H259">
        <f>IF(C259-'Atsipirkimo vertinimas'!$N$20&lt;0,0,1)</f>
        <v>1</v>
      </c>
      <c r="I259" s="92"/>
      <c r="J259" s="92">
        <f t="shared" si="25"/>
        <v>0</v>
      </c>
      <c r="K259" s="92"/>
      <c r="L259" s="88"/>
      <c r="N259" s="88">
        <v>255</v>
      </c>
      <c r="O259" s="92">
        <f t="shared" si="26"/>
        <v>5.8333333333333355E-2</v>
      </c>
      <c r="P259" s="92">
        <f>IF($Z$64&lt;S259+(S259*(('Atsipirkimo vertinimas'!$N$19)/12)),($Z$64*T259)+(Q259*U259),S259+(S259*(('Atsipirkimo vertinimas'!$N$19)/12)))</f>
        <v>0</v>
      </c>
      <c r="Q259" s="92">
        <f>IF(T259=0,0,S259*('Atsipirkimo vertinimas'!$N$19)/12)</f>
        <v>0</v>
      </c>
      <c r="R259" s="92">
        <f t="shared" si="28"/>
        <v>0</v>
      </c>
      <c r="S259" s="92">
        <f t="shared" si="29"/>
        <v>0</v>
      </c>
      <c r="T259">
        <f>IF(N259-'Atsipirkimo vertinimas'!$N$20&lt;0,0,1)</f>
        <v>1</v>
      </c>
      <c r="U259">
        <f>IF(N259-'Atsipirkimo vertinimas'!$N$20&gt;=0,0,1)</f>
        <v>0</v>
      </c>
      <c r="V259" s="92"/>
      <c r="W259" s="92"/>
      <c r="X259" s="88"/>
    </row>
    <row r="260" spans="3:24" x14ac:dyDescent="0.25">
      <c r="C260" s="88">
        <v>256</v>
      </c>
      <c r="D260" s="92">
        <f t="shared" si="24"/>
        <v>0.96703703703703336</v>
      </c>
      <c r="E260" s="92">
        <f>IF(H260=0,0,G260*('Atsipirkimo vertinimas'!$N$19)/12)</f>
        <v>-6.351851851852218E-2</v>
      </c>
      <c r="F260" s="92">
        <f>($G$4/('Atsipirkimo vertinimas'!$N$18*12-'Atsipirkimo vertinimas'!$N$20)*H260)</f>
        <v>0.97222222222222221</v>
      </c>
      <c r="G260" s="92">
        <f t="shared" si="27"/>
        <v>-15.555555555556452</v>
      </c>
      <c r="H260">
        <f>IF(C260-'Atsipirkimo vertinimas'!$N$20&lt;0,0,1)</f>
        <v>1</v>
      </c>
      <c r="I260" s="92"/>
      <c r="J260" s="92">
        <f t="shared" si="25"/>
        <v>0</v>
      </c>
      <c r="K260" s="92"/>
      <c r="L260" s="88"/>
      <c r="N260" s="88">
        <v>256</v>
      </c>
      <c r="O260" s="92">
        <f t="shared" si="26"/>
        <v>5.8333333333333355E-2</v>
      </c>
      <c r="P260" s="92">
        <f>IF($Z$64&lt;S260+(S260*(('Atsipirkimo vertinimas'!$N$19)/12)),($Z$64*T260)+(Q260*U260),S260+(S260*(('Atsipirkimo vertinimas'!$N$19)/12)))</f>
        <v>0</v>
      </c>
      <c r="Q260" s="92">
        <f>IF(T260=0,0,S260*('Atsipirkimo vertinimas'!$N$19)/12)</f>
        <v>0</v>
      </c>
      <c r="R260" s="92">
        <f t="shared" si="28"/>
        <v>0</v>
      </c>
      <c r="S260" s="92">
        <f t="shared" si="29"/>
        <v>0</v>
      </c>
      <c r="T260">
        <f>IF(N260-'Atsipirkimo vertinimas'!$N$20&lt;0,0,1)</f>
        <v>1</v>
      </c>
      <c r="U260">
        <f>IF(N260-'Atsipirkimo vertinimas'!$N$20&gt;=0,0,1)</f>
        <v>0</v>
      </c>
      <c r="V260" s="92"/>
      <c r="W260" s="92"/>
      <c r="X260" s="88"/>
    </row>
    <row r="261" spans="3:24" x14ac:dyDescent="0.25">
      <c r="C261" s="88">
        <v>257</v>
      </c>
      <c r="D261" s="92">
        <f t="shared" ref="D261:D324" si="30">IF(H261=0,E261+F261,E261+F261+$K$4)</f>
        <v>0.96306712962962593</v>
      </c>
      <c r="E261" s="92">
        <f>IF(H261=0,0,G261*('Atsipirkimo vertinimas'!$N$19)/12)</f>
        <v>-6.7488425925929588E-2</v>
      </c>
      <c r="F261" s="92">
        <f>($G$4/('Atsipirkimo vertinimas'!$N$18*12-'Atsipirkimo vertinimas'!$N$20)*H261)</f>
        <v>0.97222222222222221</v>
      </c>
      <c r="G261" s="92">
        <f t="shared" si="27"/>
        <v>-16.527777777778674</v>
      </c>
      <c r="H261">
        <f>IF(C261-'Atsipirkimo vertinimas'!$N$20&lt;0,0,1)</f>
        <v>1</v>
      </c>
      <c r="I261" s="92"/>
      <c r="J261" s="92">
        <f t="shared" ref="J261:J324" si="31">IF(H261=0,G261*(0.03)/12,0)</f>
        <v>0</v>
      </c>
      <c r="K261" s="92"/>
      <c r="L261" s="88"/>
      <c r="N261" s="88">
        <v>257</v>
      </c>
      <c r="O261" s="92">
        <f t="shared" ref="O261:O324" si="32">IF(T261=0,0,($X$4+P261))</f>
        <v>5.8333333333333355E-2</v>
      </c>
      <c r="P261" s="92">
        <f>IF($Z$64&lt;S261+(S261*(('Atsipirkimo vertinimas'!$N$19)/12)),($Z$64*T261)+(Q261*U261),S261+(S261*(('Atsipirkimo vertinimas'!$N$19)/12)))</f>
        <v>0</v>
      </c>
      <c r="Q261" s="92">
        <f>IF(T261=0,0,S261*('Atsipirkimo vertinimas'!$N$19)/12)</f>
        <v>0</v>
      </c>
      <c r="R261" s="92">
        <f t="shared" si="28"/>
        <v>0</v>
      </c>
      <c r="S261" s="92">
        <f t="shared" si="29"/>
        <v>0</v>
      </c>
      <c r="T261">
        <f>IF(N261-'Atsipirkimo vertinimas'!$N$20&lt;0,0,1)</f>
        <v>1</v>
      </c>
      <c r="U261">
        <f>IF(N261-'Atsipirkimo vertinimas'!$N$20&gt;=0,0,1)</f>
        <v>0</v>
      </c>
      <c r="V261" s="92"/>
      <c r="W261" s="92"/>
      <c r="X261" s="88"/>
    </row>
    <row r="262" spans="3:24" x14ac:dyDescent="0.25">
      <c r="C262" s="88">
        <v>258</v>
      </c>
      <c r="D262" s="92">
        <f t="shared" si="30"/>
        <v>0.9590972222222186</v>
      </c>
      <c r="E262" s="92">
        <f>IF(H262=0,0,G262*('Atsipirkimo vertinimas'!$N$19)/12)</f>
        <v>-7.1458333333336996E-2</v>
      </c>
      <c r="F262" s="92">
        <f>($G$4/('Atsipirkimo vertinimas'!$N$18*12-'Atsipirkimo vertinimas'!$N$20)*H262)</f>
        <v>0.97222222222222221</v>
      </c>
      <c r="G262" s="92">
        <f t="shared" ref="G262:G325" si="33">(G261-F261)</f>
        <v>-17.500000000000895</v>
      </c>
      <c r="H262">
        <f>IF(C262-'Atsipirkimo vertinimas'!$N$20&lt;0,0,1)</f>
        <v>1</v>
      </c>
      <c r="I262" s="92"/>
      <c r="J262" s="92">
        <f t="shared" si="31"/>
        <v>0</v>
      </c>
      <c r="K262" s="92"/>
      <c r="L262" s="88"/>
      <c r="N262" s="88">
        <v>258</v>
      </c>
      <c r="O262" s="92">
        <f t="shared" si="32"/>
        <v>5.8333333333333355E-2</v>
      </c>
      <c r="P262" s="92">
        <f>IF($Z$64&lt;S262+(S262*(('Atsipirkimo vertinimas'!$N$19)/12)),($Z$64*T262)+(Q262*U262),S262+(S262*(('Atsipirkimo vertinimas'!$N$19)/12)))</f>
        <v>0</v>
      </c>
      <c r="Q262" s="92">
        <f>IF(T262=0,0,S262*('Atsipirkimo vertinimas'!$N$19)/12)</f>
        <v>0</v>
      </c>
      <c r="R262" s="92">
        <f t="shared" ref="R262:R325" si="34">(P262-Q262)*T262</f>
        <v>0</v>
      </c>
      <c r="S262" s="92">
        <f t="shared" ref="S262:S325" si="35">(S261-R261)</f>
        <v>0</v>
      </c>
      <c r="T262">
        <f>IF(N262-'Atsipirkimo vertinimas'!$N$20&lt;0,0,1)</f>
        <v>1</v>
      </c>
      <c r="U262">
        <f>IF(N262-'Atsipirkimo vertinimas'!$N$20&gt;=0,0,1)</f>
        <v>0</v>
      </c>
      <c r="V262" s="92"/>
      <c r="W262" s="92"/>
      <c r="X262" s="88"/>
    </row>
    <row r="263" spans="3:24" x14ac:dyDescent="0.25">
      <c r="C263" s="88">
        <v>259</v>
      </c>
      <c r="D263" s="92">
        <f t="shared" si="30"/>
        <v>0.95512731481481117</v>
      </c>
      <c r="E263" s="92">
        <f>IF(H263=0,0,G263*('Atsipirkimo vertinimas'!$N$19)/12)</f>
        <v>-7.5428240740744404E-2</v>
      </c>
      <c r="F263" s="92">
        <f>($G$4/('Atsipirkimo vertinimas'!$N$18*12-'Atsipirkimo vertinimas'!$N$20)*H263)</f>
        <v>0.97222222222222221</v>
      </c>
      <c r="G263" s="92">
        <f t="shared" si="33"/>
        <v>-18.472222222223117</v>
      </c>
      <c r="H263">
        <f>IF(C263-'Atsipirkimo vertinimas'!$N$20&lt;0,0,1)</f>
        <v>1</v>
      </c>
      <c r="I263" s="92"/>
      <c r="J263" s="92">
        <f t="shared" si="31"/>
        <v>0</v>
      </c>
      <c r="K263" s="92"/>
      <c r="L263" s="88"/>
      <c r="N263" s="88">
        <v>259</v>
      </c>
      <c r="O263" s="92">
        <f t="shared" si="32"/>
        <v>5.8333333333333355E-2</v>
      </c>
      <c r="P263" s="92">
        <f>IF($Z$64&lt;S263+(S263*(('Atsipirkimo vertinimas'!$N$19)/12)),($Z$64*T263)+(Q263*U263),S263+(S263*(('Atsipirkimo vertinimas'!$N$19)/12)))</f>
        <v>0</v>
      </c>
      <c r="Q263" s="92">
        <f>IF(T263=0,0,S263*('Atsipirkimo vertinimas'!$N$19)/12)</f>
        <v>0</v>
      </c>
      <c r="R263" s="92">
        <f t="shared" si="34"/>
        <v>0</v>
      </c>
      <c r="S263" s="92">
        <f t="shared" si="35"/>
        <v>0</v>
      </c>
      <c r="T263">
        <f>IF(N263-'Atsipirkimo vertinimas'!$N$20&lt;0,0,1)</f>
        <v>1</v>
      </c>
      <c r="U263">
        <f>IF(N263-'Atsipirkimo vertinimas'!$N$20&gt;=0,0,1)</f>
        <v>0</v>
      </c>
      <c r="V263" s="92"/>
      <c r="W263" s="92"/>
      <c r="X263" s="88"/>
    </row>
    <row r="264" spans="3:24" x14ac:dyDescent="0.25">
      <c r="C264" s="88">
        <v>260</v>
      </c>
      <c r="D264" s="92">
        <f t="shared" si="30"/>
        <v>0.95115740740740373</v>
      </c>
      <c r="E264" s="92">
        <f>IF(H264=0,0,G264*('Atsipirkimo vertinimas'!$N$19)/12)</f>
        <v>-7.9398148148151798E-2</v>
      </c>
      <c r="F264" s="92">
        <f>($G$4/('Atsipirkimo vertinimas'!$N$18*12-'Atsipirkimo vertinimas'!$N$20)*H264)</f>
        <v>0.97222222222222221</v>
      </c>
      <c r="G264" s="92">
        <f t="shared" si="33"/>
        <v>-19.444444444445338</v>
      </c>
      <c r="H264">
        <f>IF(C264-'Atsipirkimo vertinimas'!$N$20&lt;0,0,1)</f>
        <v>1</v>
      </c>
      <c r="I264" s="92"/>
      <c r="J264" s="92">
        <f t="shared" si="31"/>
        <v>0</v>
      </c>
      <c r="K264" s="92"/>
      <c r="L264" s="88"/>
      <c r="N264" s="88">
        <v>260</v>
      </c>
      <c r="O264" s="92">
        <f t="shared" si="32"/>
        <v>5.8333333333333355E-2</v>
      </c>
      <c r="P264" s="92">
        <f>IF($Z$64&lt;S264+(S264*(('Atsipirkimo vertinimas'!$N$19)/12)),($Z$64*T264)+(Q264*U264),S264+(S264*(('Atsipirkimo vertinimas'!$N$19)/12)))</f>
        <v>0</v>
      </c>
      <c r="Q264" s="92">
        <f>IF(T264=0,0,S264*('Atsipirkimo vertinimas'!$N$19)/12)</f>
        <v>0</v>
      </c>
      <c r="R264" s="92">
        <f t="shared" si="34"/>
        <v>0</v>
      </c>
      <c r="S264" s="92">
        <f t="shared" si="35"/>
        <v>0</v>
      </c>
      <c r="T264">
        <f>IF(N264-'Atsipirkimo vertinimas'!$N$20&lt;0,0,1)</f>
        <v>1</v>
      </c>
      <c r="U264">
        <f>IF(N264-'Atsipirkimo vertinimas'!$N$20&gt;=0,0,1)</f>
        <v>0</v>
      </c>
      <c r="V264" s="92"/>
      <c r="W264" s="92"/>
      <c r="X264" s="88"/>
    </row>
    <row r="265" spans="3:24" x14ac:dyDescent="0.25">
      <c r="C265" s="88">
        <v>261</v>
      </c>
      <c r="D265" s="92">
        <f t="shared" si="30"/>
        <v>0.9471874999999963</v>
      </c>
      <c r="E265" s="92">
        <f>IF(H265=0,0,G265*('Atsipirkimo vertinimas'!$N$19)/12)</f>
        <v>-8.3368055555559206E-2</v>
      </c>
      <c r="F265" s="92">
        <f>($G$4/('Atsipirkimo vertinimas'!$N$18*12-'Atsipirkimo vertinimas'!$N$20)*H265)</f>
        <v>0.97222222222222221</v>
      </c>
      <c r="G265" s="92">
        <f t="shared" si="33"/>
        <v>-20.41666666666756</v>
      </c>
      <c r="H265">
        <f>IF(C265-'Atsipirkimo vertinimas'!$N$20&lt;0,0,1)</f>
        <v>1</v>
      </c>
      <c r="I265" s="92"/>
      <c r="J265" s="92">
        <f t="shared" si="31"/>
        <v>0</v>
      </c>
      <c r="K265" s="92"/>
      <c r="L265" s="88"/>
      <c r="N265" s="88">
        <v>261</v>
      </c>
      <c r="O265" s="92">
        <f t="shared" si="32"/>
        <v>5.8333333333333355E-2</v>
      </c>
      <c r="P265" s="92">
        <f>IF($Z$64&lt;S265+(S265*(('Atsipirkimo vertinimas'!$N$19)/12)),($Z$64*T265)+(Q265*U265),S265+(S265*(('Atsipirkimo vertinimas'!$N$19)/12)))</f>
        <v>0</v>
      </c>
      <c r="Q265" s="92">
        <f>IF(T265=0,0,S265*('Atsipirkimo vertinimas'!$N$19)/12)</f>
        <v>0</v>
      </c>
      <c r="R265" s="92">
        <f t="shared" si="34"/>
        <v>0</v>
      </c>
      <c r="S265" s="92">
        <f t="shared" si="35"/>
        <v>0</v>
      </c>
      <c r="T265">
        <f>IF(N265-'Atsipirkimo vertinimas'!$N$20&lt;0,0,1)</f>
        <v>1</v>
      </c>
      <c r="U265">
        <f>IF(N265-'Atsipirkimo vertinimas'!$N$20&gt;=0,0,1)</f>
        <v>0</v>
      </c>
      <c r="V265" s="92"/>
      <c r="W265" s="92"/>
      <c r="X265" s="88"/>
    </row>
    <row r="266" spans="3:24" x14ac:dyDescent="0.25">
      <c r="C266" s="88">
        <v>262</v>
      </c>
      <c r="D266" s="92">
        <f t="shared" si="30"/>
        <v>0.94321759259258897</v>
      </c>
      <c r="E266" s="92">
        <f>IF(H266=0,0,G266*('Atsipirkimo vertinimas'!$N$19)/12)</f>
        <v>-8.73379629629666E-2</v>
      </c>
      <c r="F266" s="92">
        <f>($G$4/('Atsipirkimo vertinimas'!$N$18*12-'Atsipirkimo vertinimas'!$N$20)*H266)</f>
        <v>0.97222222222222221</v>
      </c>
      <c r="G266" s="92">
        <f t="shared" si="33"/>
        <v>-21.388888888889781</v>
      </c>
      <c r="H266">
        <f>IF(C266-'Atsipirkimo vertinimas'!$N$20&lt;0,0,1)</f>
        <v>1</v>
      </c>
      <c r="I266" s="92"/>
      <c r="J266" s="92">
        <f t="shared" si="31"/>
        <v>0</v>
      </c>
      <c r="K266" s="92"/>
      <c r="L266" s="88"/>
      <c r="N266" s="88">
        <v>262</v>
      </c>
      <c r="O266" s="92">
        <f t="shared" si="32"/>
        <v>5.8333333333333355E-2</v>
      </c>
      <c r="P266" s="92">
        <f>IF($Z$64&lt;S266+(S266*(('Atsipirkimo vertinimas'!$N$19)/12)),($Z$64*T266)+(Q266*U266),S266+(S266*(('Atsipirkimo vertinimas'!$N$19)/12)))</f>
        <v>0</v>
      </c>
      <c r="Q266" s="92">
        <f>IF(T266=0,0,S266*('Atsipirkimo vertinimas'!$N$19)/12)</f>
        <v>0</v>
      </c>
      <c r="R266" s="92">
        <f t="shared" si="34"/>
        <v>0</v>
      </c>
      <c r="S266" s="92">
        <f t="shared" si="35"/>
        <v>0</v>
      </c>
      <c r="T266">
        <f>IF(N266-'Atsipirkimo vertinimas'!$N$20&lt;0,0,1)</f>
        <v>1</v>
      </c>
      <c r="U266">
        <f>IF(N266-'Atsipirkimo vertinimas'!$N$20&gt;=0,0,1)</f>
        <v>0</v>
      </c>
      <c r="V266" s="92"/>
      <c r="W266" s="92"/>
      <c r="X266" s="88"/>
    </row>
    <row r="267" spans="3:24" x14ac:dyDescent="0.25">
      <c r="C267" s="88">
        <v>263</v>
      </c>
      <c r="D267" s="92">
        <f t="shared" si="30"/>
        <v>0.93924768518518154</v>
      </c>
      <c r="E267" s="92">
        <f>IF(H267=0,0,G267*('Atsipirkimo vertinimas'!$N$19)/12)</f>
        <v>-9.1307870370374022E-2</v>
      </c>
      <c r="F267" s="92">
        <f>($G$4/('Atsipirkimo vertinimas'!$N$18*12-'Atsipirkimo vertinimas'!$N$20)*H267)</f>
        <v>0.97222222222222221</v>
      </c>
      <c r="G267" s="92">
        <f t="shared" si="33"/>
        <v>-22.361111111112002</v>
      </c>
      <c r="H267">
        <f>IF(C267-'Atsipirkimo vertinimas'!$N$20&lt;0,0,1)</f>
        <v>1</v>
      </c>
      <c r="I267" s="92"/>
      <c r="J267" s="92">
        <f t="shared" si="31"/>
        <v>0</v>
      </c>
      <c r="K267" s="92"/>
      <c r="L267" s="91">
        <f>IF('Atsipirkimo vertinimas'!$N$18*12&gt;Grafikas!C267,SUM(D256:D267),0)</f>
        <v>0</v>
      </c>
      <c r="N267" s="88">
        <v>263</v>
      </c>
      <c r="O267" s="92">
        <f t="shared" si="32"/>
        <v>5.8333333333333355E-2</v>
      </c>
      <c r="P267" s="92">
        <f>IF($Z$64&lt;S267+(S267*(('Atsipirkimo vertinimas'!$N$19)/12)),($Z$64*T267)+(Q267*U267),S267+(S267*(('Atsipirkimo vertinimas'!$N$19)/12)))</f>
        <v>0</v>
      </c>
      <c r="Q267" s="92">
        <f>IF(T267=0,0,S267*('Atsipirkimo vertinimas'!$N$19)/12)</f>
        <v>0</v>
      </c>
      <c r="R267" s="92">
        <f t="shared" si="34"/>
        <v>0</v>
      </c>
      <c r="S267" s="92">
        <f t="shared" si="35"/>
        <v>0</v>
      </c>
      <c r="T267">
        <f>IF(N267-'Atsipirkimo vertinimas'!$N$20&lt;0,0,1)</f>
        <v>1</v>
      </c>
      <c r="U267">
        <f>IF(N267-'Atsipirkimo vertinimas'!$N$20&gt;=0,0,1)</f>
        <v>0</v>
      </c>
      <c r="V267" s="92"/>
      <c r="W267" s="92"/>
      <c r="X267" s="91">
        <f>IF('Atsipirkimo vertinimas'!$N$18*12&gt;Grafikas!C267,SUM(O256:O267),0)</f>
        <v>0</v>
      </c>
    </row>
    <row r="268" spans="3:24" x14ac:dyDescent="0.25">
      <c r="C268" s="88">
        <v>264</v>
      </c>
      <c r="D268" s="92">
        <f t="shared" si="30"/>
        <v>0.9352777777777741</v>
      </c>
      <c r="E268" s="92">
        <f>IF(H268=0,0,G268*('Atsipirkimo vertinimas'!$N$19)/12)</f>
        <v>-9.5277777777781417E-2</v>
      </c>
      <c r="F268" s="92">
        <f>($G$4/('Atsipirkimo vertinimas'!$N$18*12-'Atsipirkimo vertinimas'!$N$20)*H268)</f>
        <v>0.97222222222222221</v>
      </c>
      <c r="G268" s="92">
        <f t="shared" si="33"/>
        <v>-23.333333333334224</v>
      </c>
      <c r="H268">
        <f>IF(C268-'Atsipirkimo vertinimas'!$N$20&lt;0,0,1)</f>
        <v>1</v>
      </c>
      <c r="I268" s="92"/>
      <c r="J268" s="92">
        <f t="shared" si="31"/>
        <v>0</v>
      </c>
      <c r="K268" s="92"/>
      <c r="L268" s="88"/>
      <c r="N268" s="88">
        <v>264</v>
      </c>
      <c r="O268" s="92">
        <f t="shared" si="32"/>
        <v>5.8333333333333355E-2</v>
      </c>
      <c r="P268" s="92">
        <f>IF($Z$64&lt;S268+(S268*(('Atsipirkimo vertinimas'!$N$19)/12)),($Z$64*T268)+(Q268*U268),S268+(S268*(('Atsipirkimo vertinimas'!$N$19)/12)))</f>
        <v>0</v>
      </c>
      <c r="Q268" s="92">
        <f>IF(T268=0,0,S268*('Atsipirkimo vertinimas'!$N$19)/12)</f>
        <v>0</v>
      </c>
      <c r="R268" s="92">
        <f t="shared" si="34"/>
        <v>0</v>
      </c>
      <c r="S268" s="92">
        <f t="shared" si="35"/>
        <v>0</v>
      </c>
      <c r="T268">
        <f>IF(N268-'Atsipirkimo vertinimas'!$N$20&lt;0,0,1)</f>
        <v>1</v>
      </c>
      <c r="U268">
        <f>IF(N268-'Atsipirkimo vertinimas'!$N$20&gt;=0,0,1)</f>
        <v>0</v>
      </c>
      <c r="V268" s="92"/>
      <c r="W268" s="92"/>
      <c r="X268" s="88"/>
    </row>
    <row r="269" spans="3:24" x14ac:dyDescent="0.25">
      <c r="C269" s="88">
        <v>265</v>
      </c>
      <c r="D269" s="92">
        <f t="shared" si="30"/>
        <v>0.93130787037036677</v>
      </c>
      <c r="E269" s="92">
        <f>IF(H269=0,0,G269*('Atsipirkimo vertinimas'!$N$19)/12)</f>
        <v>-9.9247685185188825E-2</v>
      </c>
      <c r="F269" s="92">
        <f>($G$4/('Atsipirkimo vertinimas'!$N$18*12-'Atsipirkimo vertinimas'!$N$20)*H269)</f>
        <v>0.97222222222222221</v>
      </c>
      <c r="G269" s="92">
        <f t="shared" si="33"/>
        <v>-24.305555555556445</v>
      </c>
      <c r="H269">
        <f>IF(C269-'Atsipirkimo vertinimas'!$N$20&lt;0,0,1)</f>
        <v>1</v>
      </c>
      <c r="I269" s="92"/>
      <c r="J269" s="92">
        <f t="shared" si="31"/>
        <v>0</v>
      </c>
      <c r="K269" s="92"/>
      <c r="L269" s="88"/>
      <c r="N269" s="88">
        <v>265</v>
      </c>
      <c r="O269" s="92">
        <f t="shared" si="32"/>
        <v>5.8333333333333355E-2</v>
      </c>
      <c r="P269" s="92">
        <f>IF($Z$64&lt;S269+(S269*(('Atsipirkimo vertinimas'!$N$19)/12)),($Z$64*T269)+(Q269*U269),S269+(S269*(('Atsipirkimo vertinimas'!$N$19)/12)))</f>
        <v>0</v>
      </c>
      <c r="Q269" s="92">
        <f>IF(T269=0,0,S269*('Atsipirkimo vertinimas'!$N$19)/12)</f>
        <v>0</v>
      </c>
      <c r="R269" s="92">
        <f t="shared" si="34"/>
        <v>0</v>
      </c>
      <c r="S269" s="92">
        <f t="shared" si="35"/>
        <v>0</v>
      </c>
      <c r="T269">
        <f>IF(N269-'Atsipirkimo vertinimas'!$N$20&lt;0,0,1)</f>
        <v>1</v>
      </c>
      <c r="U269">
        <f>IF(N269-'Atsipirkimo vertinimas'!$N$20&gt;=0,0,1)</f>
        <v>0</v>
      </c>
      <c r="V269" s="92"/>
      <c r="W269" s="92"/>
      <c r="X269" s="88"/>
    </row>
    <row r="270" spans="3:24" x14ac:dyDescent="0.25">
      <c r="C270" s="88">
        <v>266</v>
      </c>
      <c r="D270" s="92">
        <f t="shared" si="30"/>
        <v>0.92733796296295934</v>
      </c>
      <c r="E270" s="92">
        <f>IF(H270=0,0,G270*('Atsipirkimo vertinimas'!$N$19)/12)</f>
        <v>-0.10321759259259622</v>
      </c>
      <c r="F270" s="92">
        <f>($G$4/('Atsipirkimo vertinimas'!$N$18*12-'Atsipirkimo vertinimas'!$N$20)*H270)</f>
        <v>0.97222222222222221</v>
      </c>
      <c r="G270" s="92">
        <f t="shared" si="33"/>
        <v>-25.277777777778667</v>
      </c>
      <c r="H270">
        <f>IF(C270-'Atsipirkimo vertinimas'!$N$20&lt;0,0,1)</f>
        <v>1</v>
      </c>
      <c r="I270" s="92"/>
      <c r="J270" s="92">
        <f t="shared" si="31"/>
        <v>0</v>
      </c>
      <c r="K270" s="92"/>
      <c r="L270" s="88"/>
      <c r="N270" s="88">
        <v>266</v>
      </c>
      <c r="O270" s="92">
        <f t="shared" si="32"/>
        <v>5.8333333333333355E-2</v>
      </c>
      <c r="P270" s="92">
        <f>IF($Z$64&lt;S270+(S270*(('Atsipirkimo vertinimas'!$N$19)/12)),($Z$64*T270)+(Q270*U270),S270+(S270*(('Atsipirkimo vertinimas'!$N$19)/12)))</f>
        <v>0</v>
      </c>
      <c r="Q270" s="92">
        <f>IF(T270=0,0,S270*('Atsipirkimo vertinimas'!$N$19)/12)</f>
        <v>0</v>
      </c>
      <c r="R270" s="92">
        <f t="shared" si="34"/>
        <v>0</v>
      </c>
      <c r="S270" s="92">
        <f t="shared" si="35"/>
        <v>0</v>
      </c>
      <c r="T270">
        <f>IF(N270-'Atsipirkimo vertinimas'!$N$20&lt;0,0,1)</f>
        <v>1</v>
      </c>
      <c r="U270">
        <f>IF(N270-'Atsipirkimo vertinimas'!$N$20&gt;=0,0,1)</f>
        <v>0</v>
      </c>
      <c r="V270" s="92"/>
      <c r="W270" s="92"/>
      <c r="X270" s="88"/>
    </row>
    <row r="271" spans="3:24" x14ac:dyDescent="0.25">
      <c r="C271" s="88">
        <v>267</v>
      </c>
      <c r="D271" s="92">
        <f t="shared" si="30"/>
        <v>0.9233680555555519</v>
      </c>
      <c r="E271" s="92">
        <f>IF(H271=0,0,G271*('Atsipirkimo vertinimas'!$N$19)/12)</f>
        <v>-0.10718750000000364</v>
      </c>
      <c r="F271" s="92">
        <f>($G$4/('Atsipirkimo vertinimas'!$N$18*12-'Atsipirkimo vertinimas'!$N$20)*H271)</f>
        <v>0.97222222222222221</v>
      </c>
      <c r="G271" s="92">
        <f t="shared" si="33"/>
        <v>-26.250000000000888</v>
      </c>
      <c r="H271">
        <f>IF(C271-'Atsipirkimo vertinimas'!$N$20&lt;0,0,1)</f>
        <v>1</v>
      </c>
      <c r="I271" s="92"/>
      <c r="J271" s="92">
        <f t="shared" si="31"/>
        <v>0</v>
      </c>
      <c r="K271" s="92"/>
      <c r="L271" s="88"/>
      <c r="N271" s="88">
        <v>267</v>
      </c>
      <c r="O271" s="92">
        <f t="shared" si="32"/>
        <v>5.8333333333333355E-2</v>
      </c>
      <c r="P271" s="92">
        <f>IF($Z$64&lt;S271+(S271*(('Atsipirkimo vertinimas'!$N$19)/12)),($Z$64*T271)+(Q271*U271),S271+(S271*(('Atsipirkimo vertinimas'!$N$19)/12)))</f>
        <v>0</v>
      </c>
      <c r="Q271" s="92">
        <f>IF(T271=0,0,S271*('Atsipirkimo vertinimas'!$N$19)/12)</f>
        <v>0</v>
      </c>
      <c r="R271" s="92">
        <f t="shared" si="34"/>
        <v>0</v>
      </c>
      <c r="S271" s="92">
        <f t="shared" si="35"/>
        <v>0</v>
      </c>
      <c r="T271">
        <f>IF(N271-'Atsipirkimo vertinimas'!$N$20&lt;0,0,1)</f>
        <v>1</v>
      </c>
      <c r="U271">
        <f>IF(N271-'Atsipirkimo vertinimas'!$N$20&gt;=0,0,1)</f>
        <v>0</v>
      </c>
      <c r="V271" s="92"/>
      <c r="W271" s="92"/>
      <c r="X271" s="88"/>
    </row>
    <row r="272" spans="3:24" x14ac:dyDescent="0.25">
      <c r="C272" s="88">
        <v>268</v>
      </c>
      <c r="D272" s="92">
        <f t="shared" si="30"/>
        <v>0.91939814814814458</v>
      </c>
      <c r="E272" s="92">
        <f>IF(H272=0,0,G272*('Atsipirkimo vertinimas'!$N$19)/12)</f>
        <v>-0.11115740740741104</v>
      </c>
      <c r="F272" s="92">
        <f>($G$4/('Atsipirkimo vertinimas'!$N$18*12-'Atsipirkimo vertinimas'!$N$20)*H272)</f>
        <v>0.97222222222222221</v>
      </c>
      <c r="G272" s="92">
        <f t="shared" si="33"/>
        <v>-27.22222222222311</v>
      </c>
      <c r="H272">
        <f>IF(C272-'Atsipirkimo vertinimas'!$N$20&lt;0,0,1)</f>
        <v>1</v>
      </c>
      <c r="I272" s="92"/>
      <c r="J272" s="92">
        <f t="shared" si="31"/>
        <v>0</v>
      </c>
      <c r="K272" s="92"/>
      <c r="L272" s="88"/>
      <c r="N272" s="88">
        <v>268</v>
      </c>
      <c r="O272" s="92">
        <f t="shared" si="32"/>
        <v>5.8333333333333355E-2</v>
      </c>
      <c r="P272" s="92">
        <f>IF($Z$64&lt;S272+(S272*(('Atsipirkimo vertinimas'!$N$19)/12)),($Z$64*T272)+(Q272*U272),S272+(S272*(('Atsipirkimo vertinimas'!$N$19)/12)))</f>
        <v>0</v>
      </c>
      <c r="Q272" s="92">
        <f>IF(T272=0,0,S272*('Atsipirkimo vertinimas'!$N$19)/12)</f>
        <v>0</v>
      </c>
      <c r="R272" s="92">
        <f t="shared" si="34"/>
        <v>0</v>
      </c>
      <c r="S272" s="92">
        <f t="shared" si="35"/>
        <v>0</v>
      </c>
      <c r="T272">
        <f>IF(N272-'Atsipirkimo vertinimas'!$N$20&lt;0,0,1)</f>
        <v>1</v>
      </c>
      <c r="U272">
        <f>IF(N272-'Atsipirkimo vertinimas'!$N$20&gt;=0,0,1)</f>
        <v>0</v>
      </c>
      <c r="V272" s="92"/>
      <c r="W272" s="92"/>
      <c r="X272" s="88"/>
    </row>
    <row r="273" spans="3:24" x14ac:dyDescent="0.25">
      <c r="C273" s="88">
        <v>269</v>
      </c>
      <c r="D273" s="92">
        <f t="shared" si="30"/>
        <v>0.91542824074073714</v>
      </c>
      <c r="E273" s="92">
        <f>IF(H273=0,0,G273*('Atsipirkimo vertinimas'!$N$19)/12)</f>
        <v>-0.11512731481481843</v>
      </c>
      <c r="F273" s="92">
        <f>($G$4/('Atsipirkimo vertinimas'!$N$18*12-'Atsipirkimo vertinimas'!$N$20)*H273)</f>
        <v>0.97222222222222221</v>
      </c>
      <c r="G273" s="92">
        <f t="shared" si="33"/>
        <v>-28.194444444445331</v>
      </c>
      <c r="H273">
        <f>IF(C273-'Atsipirkimo vertinimas'!$N$20&lt;0,0,1)</f>
        <v>1</v>
      </c>
      <c r="I273" s="92"/>
      <c r="J273" s="92">
        <f t="shared" si="31"/>
        <v>0</v>
      </c>
      <c r="K273" s="92"/>
      <c r="L273" s="88"/>
      <c r="N273" s="88">
        <v>269</v>
      </c>
      <c r="O273" s="92">
        <f t="shared" si="32"/>
        <v>5.8333333333333355E-2</v>
      </c>
      <c r="P273" s="92">
        <f>IF($Z$64&lt;S273+(S273*(('Atsipirkimo vertinimas'!$N$19)/12)),($Z$64*T273)+(Q273*U273),S273+(S273*(('Atsipirkimo vertinimas'!$N$19)/12)))</f>
        <v>0</v>
      </c>
      <c r="Q273" s="92">
        <f>IF(T273=0,0,S273*('Atsipirkimo vertinimas'!$N$19)/12)</f>
        <v>0</v>
      </c>
      <c r="R273" s="92">
        <f t="shared" si="34"/>
        <v>0</v>
      </c>
      <c r="S273" s="92">
        <f t="shared" si="35"/>
        <v>0</v>
      </c>
      <c r="T273">
        <f>IF(N273-'Atsipirkimo vertinimas'!$N$20&lt;0,0,1)</f>
        <v>1</v>
      </c>
      <c r="U273">
        <f>IF(N273-'Atsipirkimo vertinimas'!$N$20&gt;=0,0,1)</f>
        <v>0</v>
      </c>
      <c r="V273" s="92"/>
      <c r="W273" s="92"/>
      <c r="X273" s="88"/>
    </row>
    <row r="274" spans="3:24" x14ac:dyDescent="0.25">
      <c r="C274" s="88">
        <v>270</v>
      </c>
      <c r="D274" s="92">
        <f t="shared" si="30"/>
        <v>0.91145833333332971</v>
      </c>
      <c r="E274" s="92">
        <f>IF(H274=0,0,G274*('Atsipirkimo vertinimas'!$N$19)/12)</f>
        <v>-0.11909722222222585</v>
      </c>
      <c r="F274" s="92">
        <f>($G$4/('Atsipirkimo vertinimas'!$N$18*12-'Atsipirkimo vertinimas'!$N$20)*H274)</f>
        <v>0.97222222222222221</v>
      </c>
      <c r="G274" s="92">
        <f t="shared" si="33"/>
        <v>-29.166666666667552</v>
      </c>
      <c r="H274">
        <f>IF(C274-'Atsipirkimo vertinimas'!$N$20&lt;0,0,1)</f>
        <v>1</v>
      </c>
      <c r="I274" s="92"/>
      <c r="J274" s="92">
        <f t="shared" si="31"/>
        <v>0</v>
      </c>
      <c r="K274" s="92"/>
      <c r="L274" s="88"/>
      <c r="N274" s="88">
        <v>270</v>
      </c>
      <c r="O274" s="92">
        <f t="shared" si="32"/>
        <v>5.8333333333333355E-2</v>
      </c>
      <c r="P274" s="92">
        <f>IF($Z$64&lt;S274+(S274*(('Atsipirkimo vertinimas'!$N$19)/12)),($Z$64*T274)+(Q274*U274),S274+(S274*(('Atsipirkimo vertinimas'!$N$19)/12)))</f>
        <v>0</v>
      </c>
      <c r="Q274" s="92">
        <f>IF(T274=0,0,S274*('Atsipirkimo vertinimas'!$N$19)/12)</f>
        <v>0</v>
      </c>
      <c r="R274" s="92">
        <f t="shared" si="34"/>
        <v>0</v>
      </c>
      <c r="S274" s="92">
        <f t="shared" si="35"/>
        <v>0</v>
      </c>
      <c r="T274">
        <f>IF(N274-'Atsipirkimo vertinimas'!$N$20&lt;0,0,1)</f>
        <v>1</v>
      </c>
      <c r="U274">
        <f>IF(N274-'Atsipirkimo vertinimas'!$N$20&gt;=0,0,1)</f>
        <v>0</v>
      </c>
      <c r="V274" s="92"/>
      <c r="W274" s="92"/>
      <c r="X274" s="88"/>
    </row>
    <row r="275" spans="3:24" x14ac:dyDescent="0.25">
      <c r="C275" s="88">
        <v>271</v>
      </c>
      <c r="D275" s="92">
        <f t="shared" si="30"/>
        <v>0.90748842592592227</v>
      </c>
      <c r="E275" s="92">
        <f>IF(H275=0,0,G275*('Atsipirkimo vertinimas'!$N$19)/12)</f>
        <v>-0.12306712962963325</v>
      </c>
      <c r="F275" s="92">
        <f>($G$4/('Atsipirkimo vertinimas'!$N$18*12-'Atsipirkimo vertinimas'!$N$20)*H275)</f>
        <v>0.97222222222222221</v>
      </c>
      <c r="G275" s="92">
        <f t="shared" si="33"/>
        <v>-30.138888888889774</v>
      </c>
      <c r="H275">
        <f>IF(C275-'Atsipirkimo vertinimas'!$N$20&lt;0,0,1)</f>
        <v>1</v>
      </c>
      <c r="I275" s="92"/>
      <c r="J275" s="92">
        <f t="shared" si="31"/>
        <v>0</v>
      </c>
      <c r="K275" s="92"/>
      <c r="L275" s="88"/>
      <c r="N275" s="88">
        <v>271</v>
      </c>
      <c r="O275" s="92">
        <f t="shared" si="32"/>
        <v>5.8333333333333355E-2</v>
      </c>
      <c r="P275" s="92">
        <f>IF($Z$64&lt;S275+(S275*(('Atsipirkimo vertinimas'!$N$19)/12)),($Z$64*T275)+(Q275*U275),S275+(S275*(('Atsipirkimo vertinimas'!$N$19)/12)))</f>
        <v>0</v>
      </c>
      <c r="Q275" s="92">
        <f>IF(T275=0,0,S275*('Atsipirkimo vertinimas'!$N$19)/12)</f>
        <v>0</v>
      </c>
      <c r="R275" s="92">
        <f t="shared" si="34"/>
        <v>0</v>
      </c>
      <c r="S275" s="92">
        <f t="shared" si="35"/>
        <v>0</v>
      </c>
      <c r="T275">
        <f>IF(N275-'Atsipirkimo vertinimas'!$N$20&lt;0,0,1)</f>
        <v>1</v>
      </c>
      <c r="U275">
        <f>IF(N275-'Atsipirkimo vertinimas'!$N$20&gt;=0,0,1)</f>
        <v>0</v>
      </c>
      <c r="V275" s="92"/>
      <c r="W275" s="92"/>
      <c r="X275" s="88"/>
    </row>
    <row r="276" spans="3:24" x14ac:dyDescent="0.25">
      <c r="C276" s="88">
        <v>272</v>
      </c>
      <c r="D276" s="92">
        <f t="shared" si="30"/>
        <v>0.90351851851851495</v>
      </c>
      <c r="E276" s="92">
        <f>IF(H276=0,0,G276*('Atsipirkimo vertinimas'!$N$19)/12)</f>
        <v>-0.12703703703704064</v>
      </c>
      <c r="F276" s="92">
        <f>($G$4/('Atsipirkimo vertinimas'!$N$18*12-'Atsipirkimo vertinimas'!$N$20)*H276)</f>
        <v>0.97222222222222221</v>
      </c>
      <c r="G276" s="92">
        <f t="shared" si="33"/>
        <v>-31.111111111111995</v>
      </c>
      <c r="H276">
        <f>IF(C276-'Atsipirkimo vertinimas'!$N$20&lt;0,0,1)</f>
        <v>1</v>
      </c>
      <c r="I276" s="92"/>
      <c r="J276" s="92">
        <f t="shared" si="31"/>
        <v>0</v>
      </c>
      <c r="K276" s="92"/>
      <c r="L276" s="88"/>
      <c r="N276" s="88">
        <v>272</v>
      </c>
      <c r="O276" s="92">
        <f t="shared" si="32"/>
        <v>5.8333333333333355E-2</v>
      </c>
      <c r="P276" s="92">
        <f>IF($Z$64&lt;S276+(S276*(('Atsipirkimo vertinimas'!$N$19)/12)),($Z$64*T276)+(Q276*U276),S276+(S276*(('Atsipirkimo vertinimas'!$N$19)/12)))</f>
        <v>0</v>
      </c>
      <c r="Q276" s="92">
        <f>IF(T276=0,0,S276*('Atsipirkimo vertinimas'!$N$19)/12)</f>
        <v>0</v>
      </c>
      <c r="R276" s="92">
        <f t="shared" si="34"/>
        <v>0</v>
      </c>
      <c r="S276" s="92">
        <f t="shared" si="35"/>
        <v>0</v>
      </c>
      <c r="T276">
        <f>IF(N276-'Atsipirkimo vertinimas'!$N$20&lt;0,0,1)</f>
        <v>1</v>
      </c>
      <c r="U276">
        <f>IF(N276-'Atsipirkimo vertinimas'!$N$20&gt;=0,0,1)</f>
        <v>0</v>
      </c>
      <c r="V276" s="92"/>
      <c r="W276" s="92"/>
      <c r="X276" s="88"/>
    </row>
    <row r="277" spans="3:24" x14ac:dyDescent="0.25">
      <c r="C277" s="88">
        <v>273</v>
      </c>
      <c r="D277" s="92">
        <f t="shared" si="30"/>
        <v>0.89954861111110751</v>
      </c>
      <c r="E277" s="92">
        <f>IF(H277=0,0,G277*('Atsipirkimo vertinimas'!$N$19)/12)</f>
        <v>-0.13100694444444805</v>
      </c>
      <c r="F277" s="92">
        <f>($G$4/('Atsipirkimo vertinimas'!$N$18*12-'Atsipirkimo vertinimas'!$N$20)*H277)</f>
        <v>0.97222222222222221</v>
      </c>
      <c r="G277" s="92">
        <f t="shared" si="33"/>
        <v>-32.083333333334217</v>
      </c>
      <c r="H277">
        <f>IF(C277-'Atsipirkimo vertinimas'!$N$20&lt;0,0,1)</f>
        <v>1</v>
      </c>
      <c r="I277" s="92"/>
      <c r="J277" s="92">
        <f t="shared" si="31"/>
        <v>0</v>
      </c>
      <c r="K277" s="92"/>
      <c r="L277" s="88"/>
      <c r="N277" s="88">
        <v>273</v>
      </c>
      <c r="O277" s="92">
        <f t="shared" si="32"/>
        <v>5.8333333333333355E-2</v>
      </c>
      <c r="P277" s="92">
        <f>IF($Z$64&lt;S277+(S277*(('Atsipirkimo vertinimas'!$N$19)/12)),($Z$64*T277)+(Q277*U277),S277+(S277*(('Atsipirkimo vertinimas'!$N$19)/12)))</f>
        <v>0</v>
      </c>
      <c r="Q277" s="92">
        <f>IF(T277=0,0,S277*('Atsipirkimo vertinimas'!$N$19)/12)</f>
        <v>0</v>
      </c>
      <c r="R277" s="92">
        <f t="shared" si="34"/>
        <v>0</v>
      </c>
      <c r="S277" s="92">
        <f t="shared" si="35"/>
        <v>0</v>
      </c>
      <c r="T277">
        <f>IF(N277-'Atsipirkimo vertinimas'!$N$20&lt;0,0,1)</f>
        <v>1</v>
      </c>
      <c r="U277">
        <f>IF(N277-'Atsipirkimo vertinimas'!$N$20&gt;=0,0,1)</f>
        <v>0</v>
      </c>
      <c r="V277" s="92"/>
      <c r="W277" s="92"/>
      <c r="X277" s="88"/>
    </row>
    <row r="278" spans="3:24" x14ac:dyDescent="0.25">
      <c r="C278" s="88">
        <v>274</v>
      </c>
      <c r="D278" s="92">
        <f t="shared" si="30"/>
        <v>0.89557870370370007</v>
      </c>
      <c r="E278" s="92">
        <f>IF(H278=0,0,G278*('Atsipirkimo vertinimas'!$N$19)/12)</f>
        <v>-0.13497685185185546</v>
      </c>
      <c r="F278" s="92">
        <f>($G$4/('Atsipirkimo vertinimas'!$N$18*12-'Atsipirkimo vertinimas'!$N$20)*H278)</f>
        <v>0.97222222222222221</v>
      </c>
      <c r="G278" s="92">
        <f t="shared" si="33"/>
        <v>-33.055555555556438</v>
      </c>
      <c r="H278">
        <f>IF(C278-'Atsipirkimo vertinimas'!$N$20&lt;0,0,1)</f>
        <v>1</v>
      </c>
      <c r="I278" s="92"/>
      <c r="J278" s="92">
        <f t="shared" si="31"/>
        <v>0</v>
      </c>
      <c r="K278" s="92"/>
      <c r="L278" s="88"/>
      <c r="N278" s="88">
        <v>274</v>
      </c>
      <c r="O278" s="92">
        <f t="shared" si="32"/>
        <v>5.8333333333333355E-2</v>
      </c>
      <c r="P278" s="92">
        <f>IF($Z$64&lt;S278+(S278*(('Atsipirkimo vertinimas'!$N$19)/12)),($Z$64*T278)+(Q278*U278),S278+(S278*(('Atsipirkimo vertinimas'!$N$19)/12)))</f>
        <v>0</v>
      </c>
      <c r="Q278" s="92">
        <f>IF(T278=0,0,S278*('Atsipirkimo vertinimas'!$N$19)/12)</f>
        <v>0</v>
      </c>
      <c r="R278" s="92">
        <f t="shared" si="34"/>
        <v>0</v>
      </c>
      <c r="S278" s="92">
        <f t="shared" si="35"/>
        <v>0</v>
      </c>
      <c r="T278">
        <f>IF(N278-'Atsipirkimo vertinimas'!$N$20&lt;0,0,1)</f>
        <v>1</v>
      </c>
      <c r="U278">
        <f>IF(N278-'Atsipirkimo vertinimas'!$N$20&gt;=0,0,1)</f>
        <v>0</v>
      </c>
      <c r="V278" s="92"/>
      <c r="W278" s="92"/>
      <c r="X278" s="88"/>
    </row>
    <row r="279" spans="3:24" x14ac:dyDescent="0.25">
      <c r="C279" s="88">
        <v>275</v>
      </c>
      <c r="D279" s="92">
        <f t="shared" si="30"/>
        <v>0.89160879629629264</v>
      </c>
      <c r="E279" s="92">
        <f>IF(H279=0,0,G279*('Atsipirkimo vertinimas'!$N$19)/12)</f>
        <v>-0.13894675925926286</v>
      </c>
      <c r="F279" s="92">
        <f>($G$4/('Atsipirkimo vertinimas'!$N$18*12-'Atsipirkimo vertinimas'!$N$20)*H279)</f>
        <v>0.97222222222222221</v>
      </c>
      <c r="G279" s="92">
        <f t="shared" si="33"/>
        <v>-34.02777777777866</v>
      </c>
      <c r="H279">
        <f>IF(C279-'Atsipirkimo vertinimas'!$N$20&lt;0,0,1)</f>
        <v>1</v>
      </c>
      <c r="I279" s="92"/>
      <c r="J279" s="92">
        <f t="shared" si="31"/>
        <v>0</v>
      </c>
      <c r="K279" s="92"/>
      <c r="L279" s="91">
        <f>IF('Atsipirkimo vertinimas'!$N$18*12&gt;Grafikas!C279,SUM(D268:D279),0)</f>
        <v>0</v>
      </c>
      <c r="N279" s="88">
        <v>275</v>
      </c>
      <c r="O279" s="92">
        <f t="shared" si="32"/>
        <v>5.8333333333333355E-2</v>
      </c>
      <c r="P279" s="92">
        <f>IF($Z$64&lt;S279+(S279*(('Atsipirkimo vertinimas'!$N$19)/12)),($Z$64*T279)+(Q279*U279),S279+(S279*(('Atsipirkimo vertinimas'!$N$19)/12)))</f>
        <v>0</v>
      </c>
      <c r="Q279" s="92">
        <f>IF(T279=0,0,S279*('Atsipirkimo vertinimas'!$N$19)/12)</f>
        <v>0</v>
      </c>
      <c r="R279" s="92">
        <f t="shared" si="34"/>
        <v>0</v>
      </c>
      <c r="S279" s="92">
        <f t="shared" si="35"/>
        <v>0</v>
      </c>
      <c r="T279">
        <f>IF(N279-'Atsipirkimo vertinimas'!$N$20&lt;0,0,1)</f>
        <v>1</v>
      </c>
      <c r="U279">
        <f>IF(N279-'Atsipirkimo vertinimas'!$N$20&gt;=0,0,1)</f>
        <v>0</v>
      </c>
      <c r="V279" s="92"/>
      <c r="W279" s="92"/>
      <c r="X279" s="91">
        <f>IF('Atsipirkimo vertinimas'!$N$18*12&gt;Grafikas!C279,SUM(O268:O279),0)</f>
        <v>0</v>
      </c>
    </row>
    <row r="280" spans="3:24" x14ac:dyDescent="0.25">
      <c r="C280" s="88">
        <v>276</v>
      </c>
      <c r="D280" s="92">
        <f t="shared" si="30"/>
        <v>0.88763888888888531</v>
      </c>
      <c r="E280" s="92">
        <f>IF(H280=0,0,G280*('Atsipirkimo vertinimas'!$N$19)/12)</f>
        <v>-0.14291666666667027</v>
      </c>
      <c r="F280" s="92">
        <f>($G$4/('Atsipirkimo vertinimas'!$N$18*12-'Atsipirkimo vertinimas'!$N$20)*H280)</f>
        <v>0.97222222222222221</v>
      </c>
      <c r="G280" s="92">
        <f t="shared" si="33"/>
        <v>-35.000000000000881</v>
      </c>
      <c r="H280">
        <f>IF(C280-'Atsipirkimo vertinimas'!$N$20&lt;0,0,1)</f>
        <v>1</v>
      </c>
      <c r="I280" s="92"/>
      <c r="J280" s="92">
        <f t="shared" si="31"/>
        <v>0</v>
      </c>
      <c r="K280" s="92"/>
      <c r="L280" s="88"/>
      <c r="N280" s="88">
        <v>276</v>
      </c>
      <c r="O280" s="92">
        <f t="shared" si="32"/>
        <v>5.8333333333333355E-2</v>
      </c>
      <c r="P280" s="92">
        <f>IF($Z$64&lt;S280+(S280*(('Atsipirkimo vertinimas'!$N$19)/12)),($Z$64*T280)+(Q280*U280),S280+(S280*(('Atsipirkimo vertinimas'!$N$19)/12)))</f>
        <v>0</v>
      </c>
      <c r="Q280" s="92">
        <f>IF(T280=0,0,S280*('Atsipirkimo vertinimas'!$N$19)/12)</f>
        <v>0</v>
      </c>
      <c r="R280" s="92">
        <f t="shared" si="34"/>
        <v>0</v>
      </c>
      <c r="S280" s="92">
        <f t="shared" si="35"/>
        <v>0</v>
      </c>
      <c r="T280">
        <f>IF(N280-'Atsipirkimo vertinimas'!$N$20&lt;0,0,1)</f>
        <v>1</v>
      </c>
      <c r="U280">
        <f>IF(N280-'Atsipirkimo vertinimas'!$N$20&gt;=0,0,1)</f>
        <v>0</v>
      </c>
      <c r="V280" s="92"/>
      <c r="W280" s="92"/>
      <c r="X280" s="88"/>
    </row>
    <row r="281" spans="3:24" x14ac:dyDescent="0.25">
      <c r="C281" s="88">
        <v>277</v>
      </c>
      <c r="D281" s="92">
        <f t="shared" si="30"/>
        <v>0.88366898148147788</v>
      </c>
      <c r="E281" s="92">
        <f>IF(H281=0,0,G281*('Atsipirkimo vertinimas'!$N$19)/12)</f>
        <v>-0.14688657407407768</v>
      </c>
      <c r="F281" s="92">
        <f>($G$4/('Atsipirkimo vertinimas'!$N$18*12-'Atsipirkimo vertinimas'!$N$20)*H281)</f>
        <v>0.97222222222222221</v>
      </c>
      <c r="G281" s="92">
        <f t="shared" si="33"/>
        <v>-35.972222222223103</v>
      </c>
      <c r="H281">
        <f>IF(C281-'Atsipirkimo vertinimas'!$N$20&lt;0,0,1)</f>
        <v>1</v>
      </c>
      <c r="I281" s="92"/>
      <c r="J281" s="92">
        <f t="shared" si="31"/>
        <v>0</v>
      </c>
      <c r="K281" s="92"/>
      <c r="L281" s="88"/>
      <c r="N281" s="88">
        <v>277</v>
      </c>
      <c r="O281" s="92">
        <f t="shared" si="32"/>
        <v>5.8333333333333355E-2</v>
      </c>
      <c r="P281" s="92">
        <f>IF($Z$64&lt;S281+(S281*(('Atsipirkimo vertinimas'!$N$19)/12)),($Z$64*T281)+(Q281*U281),S281+(S281*(('Atsipirkimo vertinimas'!$N$19)/12)))</f>
        <v>0</v>
      </c>
      <c r="Q281" s="92">
        <f>IF(T281=0,0,S281*('Atsipirkimo vertinimas'!$N$19)/12)</f>
        <v>0</v>
      </c>
      <c r="R281" s="92">
        <f t="shared" si="34"/>
        <v>0</v>
      </c>
      <c r="S281" s="92">
        <f t="shared" si="35"/>
        <v>0</v>
      </c>
      <c r="T281">
        <f>IF(N281-'Atsipirkimo vertinimas'!$N$20&lt;0,0,1)</f>
        <v>1</v>
      </c>
      <c r="U281">
        <f>IF(N281-'Atsipirkimo vertinimas'!$N$20&gt;=0,0,1)</f>
        <v>0</v>
      </c>
      <c r="V281" s="92"/>
      <c r="W281" s="92"/>
      <c r="X281" s="88"/>
    </row>
    <row r="282" spans="3:24" x14ac:dyDescent="0.25">
      <c r="C282" s="88">
        <v>278</v>
      </c>
      <c r="D282" s="92">
        <f t="shared" si="30"/>
        <v>0.87969907407407044</v>
      </c>
      <c r="E282" s="92">
        <f>IF(H282=0,0,G282*('Atsipirkimo vertinimas'!$N$19)/12)</f>
        <v>-0.15085648148148509</v>
      </c>
      <c r="F282" s="92">
        <f>($G$4/('Atsipirkimo vertinimas'!$N$18*12-'Atsipirkimo vertinimas'!$N$20)*H282)</f>
        <v>0.97222222222222221</v>
      </c>
      <c r="G282" s="92">
        <f t="shared" si="33"/>
        <v>-36.944444444445324</v>
      </c>
      <c r="H282">
        <f>IF(C282-'Atsipirkimo vertinimas'!$N$20&lt;0,0,1)</f>
        <v>1</v>
      </c>
      <c r="I282" s="92"/>
      <c r="J282" s="92">
        <f t="shared" si="31"/>
        <v>0</v>
      </c>
      <c r="K282" s="92"/>
      <c r="L282" s="88"/>
      <c r="N282" s="88">
        <v>278</v>
      </c>
      <c r="O282" s="92">
        <f t="shared" si="32"/>
        <v>5.8333333333333355E-2</v>
      </c>
      <c r="P282" s="92">
        <f>IF($Z$64&lt;S282+(S282*(('Atsipirkimo vertinimas'!$N$19)/12)),($Z$64*T282)+(Q282*U282),S282+(S282*(('Atsipirkimo vertinimas'!$N$19)/12)))</f>
        <v>0</v>
      </c>
      <c r="Q282" s="92">
        <f>IF(T282=0,0,S282*('Atsipirkimo vertinimas'!$N$19)/12)</f>
        <v>0</v>
      </c>
      <c r="R282" s="92">
        <f t="shared" si="34"/>
        <v>0</v>
      </c>
      <c r="S282" s="92">
        <f t="shared" si="35"/>
        <v>0</v>
      </c>
      <c r="T282">
        <f>IF(N282-'Atsipirkimo vertinimas'!$N$20&lt;0,0,1)</f>
        <v>1</v>
      </c>
      <c r="U282">
        <f>IF(N282-'Atsipirkimo vertinimas'!$N$20&gt;=0,0,1)</f>
        <v>0</v>
      </c>
      <c r="V282" s="92"/>
      <c r="W282" s="92"/>
      <c r="X282" s="88"/>
    </row>
    <row r="283" spans="3:24" x14ac:dyDescent="0.25">
      <c r="C283" s="88">
        <v>279</v>
      </c>
      <c r="D283" s="92">
        <f t="shared" si="30"/>
        <v>0.87572916666666312</v>
      </c>
      <c r="E283" s="92">
        <f>IF(H283=0,0,G283*('Atsipirkimo vertinimas'!$N$19)/12)</f>
        <v>-0.15482638888889247</v>
      </c>
      <c r="F283" s="92">
        <f>($G$4/('Atsipirkimo vertinimas'!$N$18*12-'Atsipirkimo vertinimas'!$N$20)*H283)</f>
        <v>0.97222222222222221</v>
      </c>
      <c r="G283" s="92">
        <f t="shared" si="33"/>
        <v>-37.916666666667545</v>
      </c>
      <c r="H283">
        <f>IF(C283-'Atsipirkimo vertinimas'!$N$20&lt;0,0,1)</f>
        <v>1</v>
      </c>
      <c r="I283" s="92"/>
      <c r="J283" s="92">
        <f t="shared" si="31"/>
        <v>0</v>
      </c>
      <c r="K283" s="92"/>
      <c r="L283" s="88"/>
      <c r="N283" s="88">
        <v>279</v>
      </c>
      <c r="O283" s="92">
        <f t="shared" si="32"/>
        <v>5.8333333333333355E-2</v>
      </c>
      <c r="P283" s="92">
        <f>IF($Z$64&lt;S283+(S283*(('Atsipirkimo vertinimas'!$N$19)/12)),($Z$64*T283)+(Q283*U283),S283+(S283*(('Atsipirkimo vertinimas'!$N$19)/12)))</f>
        <v>0</v>
      </c>
      <c r="Q283" s="92">
        <f>IF(T283=0,0,S283*('Atsipirkimo vertinimas'!$N$19)/12)</f>
        <v>0</v>
      </c>
      <c r="R283" s="92">
        <f t="shared" si="34"/>
        <v>0</v>
      </c>
      <c r="S283" s="92">
        <f t="shared" si="35"/>
        <v>0</v>
      </c>
      <c r="T283">
        <f>IF(N283-'Atsipirkimo vertinimas'!$N$20&lt;0,0,1)</f>
        <v>1</v>
      </c>
      <c r="U283">
        <f>IF(N283-'Atsipirkimo vertinimas'!$N$20&gt;=0,0,1)</f>
        <v>0</v>
      </c>
      <c r="V283" s="92"/>
      <c r="W283" s="92"/>
      <c r="X283" s="88"/>
    </row>
    <row r="284" spans="3:24" x14ac:dyDescent="0.25">
      <c r="C284" s="88">
        <v>280</v>
      </c>
      <c r="D284" s="92">
        <f t="shared" si="30"/>
        <v>0.87175925925925568</v>
      </c>
      <c r="E284" s="92">
        <f>IF(H284=0,0,G284*('Atsipirkimo vertinimas'!$N$19)/12)</f>
        <v>-0.1587962962962999</v>
      </c>
      <c r="F284" s="92">
        <f>($G$4/('Atsipirkimo vertinimas'!$N$18*12-'Atsipirkimo vertinimas'!$N$20)*H284)</f>
        <v>0.97222222222222221</v>
      </c>
      <c r="G284" s="92">
        <f t="shared" si="33"/>
        <v>-38.888888888889767</v>
      </c>
      <c r="H284">
        <f>IF(C284-'Atsipirkimo vertinimas'!$N$20&lt;0,0,1)</f>
        <v>1</v>
      </c>
      <c r="I284" s="92"/>
      <c r="J284" s="92">
        <f t="shared" si="31"/>
        <v>0</v>
      </c>
      <c r="K284" s="92"/>
      <c r="L284" s="88"/>
      <c r="N284" s="88">
        <v>280</v>
      </c>
      <c r="O284" s="92">
        <f t="shared" si="32"/>
        <v>5.8333333333333355E-2</v>
      </c>
      <c r="P284" s="92">
        <f>IF($Z$64&lt;S284+(S284*(('Atsipirkimo vertinimas'!$N$19)/12)),($Z$64*T284)+(Q284*U284),S284+(S284*(('Atsipirkimo vertinimas'!$N$19)/12)))</f>
        <v>0</v>
      </c>
      <c r="Q284" s="92">
        <f>IF(T284=0,0,S284*('Atsipirkimo vertinimas'!$N$19)/12)</f>
        <v>0</v>
      </c>
      <c r="R284" s="92">
        <f t="shared" si="34"/>
        <v>0</v>
      </c>
      <c r="S284" s="92">
        <f t="shared" si="35"/>
        <v>0</v>
      </c>
      <c r="T284">
        <f>IF(N284-'Atsipirkimo vertinimas'!$N$20&lt;0,0,1)</f>
        <v>1</v>
      </c>
      <c r="U284">
        <f>IF(N284-'Atsipirkimo vertinimas'!$N$20&gt;=0,0,1)</f>
        <v>0</v>
      </c>
      <c r="V284" s="92"/>
      <c r="W284" s="92"/>
      <c r="X284" s="88"/>
    </row>
    <row r="285" spans="3:24" x14ac:dyDescent="0.25">
      <c r="C285" s="88">
        <v>281</v>
      </c>
      <c r="D285" s="92">
        <f t="shared" si="30"/>
        <v>0.86778935185184825</v>
      </c>
      <c r="E285" s="92">
        <f>IF(H285=0,0,G285*('Atsipirkimo vertinimas'!$N$19)/12)</f>
        <v>-0.16276620370370729</v>
      </c>
      <c r="F285" s="92">
        <f>($G$4/('Atsipirkimo vertinimas'!$N$18*12-'Atsipirkimo vertinimas'!$N$20)*H285)</f>
        <v>0.97222222222222221</v>
      </c>
      <c r="G285" s="92">
        <f t="shared" si="33"/>
        <v>-39.861111111111988</v>
      </c>
      <c r="H285">
        <f>IF(C285-'Atsipirkimo vertinimas'!$N$20&lt;0,0,1)</f>
        <v>1</v>
      </c>
      <c r="I285" s="92"/>
      <c r="J285" s="92">
        <f t="shared" si="31"/>
        <v>0</v>
      </c>
      <c r="K285" s="92"/>
      <c r="L285" s="88"/>
      <c r="N285" s="88">
        <v>281</v>
      </c>
      <c r="O285" s="92">
        <f t="shared" si="32"/>
        <v>5.8333333333333355E-2</v>
      </c>
      <c r="P285" s="92">
        <f>IF($Z$64&lt;S285+(S285*(('Atsipirkimo vertinimas'!$N$19)/12)),($Z$64*T285)+(Q285*U285),S285+(S285*(('Atsipirkimo vertinimas'!$N$19)/12)))</f>
        <v>0</v>
      </c>
      <c r="Q285" s="92">
        <f>IF(T285=0,0,S285*('Atsipirkimo vertinimas'!$N$19)/12)</f>
        <v>0</v>
      </c>
      <c r="R285" s="92">
        <f t="shared" si="34"/>
        <v>0</v>
      </c>
      <c r="S285" s="92">
        <f t="shared" si="35"/>
        <v>0</v>
      </c>
      <c r="T285">
        <f>IF(N285-'Atsipirkimo vertinimas'!$N$20&lt;0,0,1)</f>
        <v>1</v>
      </c>
      <c r="U285">
        <f>IF(N285-'Atsipirkimo vertinimas'!$N$20&gt;=0,0,1)</f>
        <v>0</v>
      </c>
      <c r="V285" s="92"/>
      <c r="W285" s="92"/>
      <c r="X285" s="88"/>
    </row>
    <row r="286" spans="3:24" x14ac:dyDescent="0.25">
      <c r="C286" s="88">
        <v>282</v>
      </c>
      <c r="D286" s="92">
        <f t="shared" si="30"/>
        <v>0.86381944444444081</v>
      </c>
      <c r="E286" s="92">
        <f>IF(H286=0,0,G286*('Atsipirkimo vertinimas'!$N$19)/12)</f>
        <v>-0.16673611111111472</v>
      </c>
      <c r="F286" s="92">
        <f>($G$4/('Atsipirkimo vertinimas'!$N$18*12-'Atsipirkimo vertinimas'!$N$20)*H286)</f>
        <v>0.97222222222222221</v>
      </c>
      <c r="G286" s="92">
        <f t="shared" si="33"/>
        <v>-40.83333333333421</v>
      </c>
      <c r="H286">
        <f>IF(C286-'Atsipirkimo vertinimas'!$N$20&lt;0,0,1)</f>
        <v>1</v>
      </c>
      <c r="I286" s="92"/>
      <c r="J286" s="92">
        <f t="shared" si="31"/>
        <v>0</v>
      </c>
      <c r="K286" s="92"/>
      <c r="L286" s="88"/>
      <c r="N286" s="88">
        <v>282</v>
      </c>
      <c r="O286" s="92">
        <f t="shared" si="32"/>
        <v>5.8333333333333355E-2</v>
      </c>
      <c r="P286" s="92">
        <f>IF($Z$64&lt;S286+(S286*(('Atsipirkimo vertinimas'!$N$19)/12)),($Z$64*T286)+(Q286*U286),S286+(S286*(('Atsipirkimo vertinimas'!$N$19)/12)))</f>
        <v>0</v>
      </c>
      <c r="Q286" s="92">
        <f>IF(T286=0,0,S286*('Atsipirkimo vertinimas'!$N$19)/12)</f>
        <v>0</v>
      </c>
      <c r="R286" s="92">
        <f t="shared" si="34"/>
        <v>0</v>
      </c>
      <c r="S286" s="92">
        <f t="shared" si="35"/>
        <v>0</v>
      </c>
      <c r="T286">
        <f>IF(N286-'Atsipirkimo vertinimas'!$N$20&lt;0,0,1)</f>
        <v>1</v>
      </c>
      <c r="U286">
        <f>IF(N286-'Atsipirkimo vertinimas'!$N$20&gt;=0,0,1)</f>
        <v>0</v>
      </c>
      <c r="V286" s="92"/>
      <c r="W286" s="92"/>
      <c r="X286" s="88"/>
    </row>
    <row r="287" spans="3:24" x14ac:dyDescent="0.25">
      <c r="C287" s="88">
        <v>283</v>
      </c>
      <c r="D287" s="92">
        <f t="shared" si="30"/>
        <v>0.85984953703703348</v>
      </c>
      <c r="E287" s="92">
        <f>IF(H287=0,0,G287*('Atsipirkimo vertinimas'!$N$19)/12)</f>
        <v>-0.1707060185185221</v>
      </c>
      <c r="F287" s="92">
        <f>($G$4/('Atsipirkimo vertinimas'!$N$18*12-'Atsipirkimo vertinimas'!$N$20)*H287)</f>
        <v>0.97222222222222221</v>
      </c>
      <c r="G287" s="92">
        <f t="shared" si="33"/>
        <v>-41.805555555556431</v>
      </c>
      <c r="H287">
        <f>IF(C287-'Atsipirkimo vertinimas'!$N$20&lt;0,0,1)</f>
        <v>1</v>
      </c>
      <c r="I287" s="92"/>
      <c r="J287" s="92">
        <f t="shared" si="31"/>
        <v>0</v>
      </c>
      <c r="K287" s="92"/>
      <c r="L287" s="88"/>
      <c r="N287" s="88">
        <v>283</v>
      </c>
      <c r="O287" s="92">
        <f t="shared" si="32"/>
        <v>5.8333333333333355E-2</v>
      </c>
      <c r="P287" s="92">
        <f>IF($Z$64&lt;S287+(S287*(('Atsipirkimo vertinimas'!$N$19)/12)),($Z$64*T287)+(Q287*U287),S287+(S287*(('Atsipirkimo vertinimas'!$N$19)/12)))</f>
        <v>0</v>
      </c>
      <c r="Q287" s="92">
        <f>IF(T287=0,0,S287*('Atsipirkimo vertinimas'!$N$19)/12)</f>
        <v>0</v>
      </c>
      <c r="R287" s="92">
        <f t="shared" si="34"/>
        <v>0</v>
      </c>
      <c r="S287" s="92">
        <f t="shared" si="35"/>
        <v>0</v>
      </c>
      <c r="T287">
        <f>IF(N287-'Atsipirkimo vertinimas'!$N$20&lt;0,0,1)</f>
        <v>1</v>
      </c>
      <c r="U287">
        <f>IF(N287-'Atsipirkimo vertinimas'!$N$20&gt;=0,0,1)</f>
        <v>0</v>
      </c>
      <c r="V287" s="92"/>
      <c r="W287" s="92"/>
      <c r="X287" s="88"/>
    </row>
    <row r="288" spans="3:24" x14ac:dyDescent="0.25">
      <c r="C288" s="88">
        <v>284</v>
      </c>
      <c r="D288" s="92">
        <f t="shared" si="30"/>
        <v>0.85587962962962605</v>
      </c>
      <c r="E288" s="92">
        <f>IF(H288=0,0,G288*('Atsipirkimo vertinimas'!$N$19)/12)</f>
        <v>-0.17467592592592951</v>
      </c>
      <c r="F288" s="92">
        <f>($G$4/('Atsipirkimo vertinimas'!$N$18*12-'Atsipirkimo vertinimas'!$N$20)*H288)</f>
        <v>0.97222222222222221</v>
      </c>
      <c r="G288" s="92">
        <f t="shared" si="33"/>
        <v>-42.777777777778653</v>
      </c>
      <c r="H288">
        <f>IF(C288-'Atsipirkimo vertinimas'!$N$20&lt;0,0,1)</f>
        <v>1</v>
      </c>
      <c r="I288" s="92"/>
      <c r="J288" s="92">
        <f t="shared" si="31"/>
        <v>0</v>
      </c>
      <c r="K288" s="92"/>
      <c r="L288" s="88"/>
      <c r="N288" s="88">
        <v>284</v>
      </c>
      <c r="O288" s="92">
        <f t="shared" si="32"/>
        <v>5.8333333333333355E-2</v>
      </c>
      <c r="P288" s="92">
        <f>IF($Z$64&lt;S288+(S288*(('Atsipirkimo vertinimas'!$N$19)/12)),($Z$64*T288)+(Q288*U288),S288+(S288*(('Atsipirkimo vertinimas'!$N$19)/12)))</f>
        <v>0</v>
      </c>
      <c r="Q288" s="92">
        <f>IF(T288=0,0,S288*('Atsipirkimo vertinimas'!$N$19)/12)</f>
        <v>0</v>
      </c>
      <c r="R288" s="92">
        <f t="shared" si="34"/>
        <v>0</v>
      </c>
      <c r="S288" s="92">
        <f t="shared" si="35"/>
        <v>0</v>
      </c>
      <c r="T288">
        <f>IF(N288-'Atsipirkimo vertinimas'!$N$20&lt;0,0,1)</f>
        <v>1</v>
      </c>
      <c r="U288">
        <f>IF(N288-'Atsipirkimo vertinimas'!$N$20&gt;=0,0,1)</f>
        <v>0</v>
      </c>
      <c r="V288" s="92"/>
      <c r="W288" s="92"/>
      <c r="X288" s="88"/>
    </row>
    <row r="289" spans="3:24" x14ac:dyDescent="0.25">
      <c r="C289" s="88">
        <v>285</v>
      </c>
      <c r="D289" s="92">
        <f t="shared" si="30"/>
        <v>0.85190972222221861</v>
      </c>
      <c r="E289" s="92">
        <f>IF(H289=0,0,G289*('Atsipirkimo vertinimas'!$N$19)/12)</f>
        <v>-0.17864583333333692</v>
      </c>
      <c r="F289" s="92">
        <f>($G$4/('Atsipirkimo vertinimas'!$N$18*12-'Atsipirkimo vertinimas'!$N$20)*H289)</f>
        <v>0.97222222222222221</v>
      </c>
      <c r="G289" s="92">
        <f t="shared" si="33"/>
        <v>-43.750000000000874</v>
      </c>
      <c r="H289">
        <f>IF(C289-'Atsipirkimo vertinimas'!$N$20&lt;0,0,1)</f>
        <v>1</v>
      </c>
      <c r="I289" s="92"/>
      <c r="J289" s="92">
        <f t="shared" si="31"/>
        <v>0</v>
      </c>
      <c r="K289" s="92"/>
      <c r="L289" s="88"/>
      <c r="N289" s="88">
        <v>285</v>
      </c>
      <c r="O289" s="92">
        <f t="shared" si="32"/>
        <v>5.8333333333333355E-2</v>
      </c>
      <c r="P289" s="92">
        <f>IF($Z$64&lt;S289+(S289*(('Atsipirkimo vertinimas'!$N$19)/12)),($Z$64*T289)+(Q289*U289),S289+(S289*(('Atsipirkimo vertinimas'!$N$19)/12)))</f>
        <v>0</v>
      </c>
      <c r="Q289" s="92">
        <f>IF(T289=0,0,S289*('Atsipirkimo vertinimas'!$N$19)/12)</f>
        <v>0</v>
      </c>
      <c r="R289" s="92">
        <f t="shared" si="34"/>
        <v>0</v>
      </c>
      <c r="S289" s="92">
        <f t="shared" si="35"/>
        <v>0</v>
      </c>
      <c r="T289">
        <f>IF(N289-'Atsipirkimo vertinimas'!$N$20&lt;0,0,1)</f>
        <v>1</v>
      </c>
      <c r="U289">
        <f>IF(N289-'Atsipirkimo vertinimas'!$N$20&gt;=0,0,1)</f>
        <v>0</v>
      </c>
      <c r="V289" s="92"/>
      <c r="W289" s="92"/>
      <c r="X289" s="88"/>
    </row>
    <row r="290" spans="3:24" x14ac:dyDescent="0.25">
      <c r="C290" s="88">
        <v>286</v>
      </c>
      <c r="D290" s="92">
        <f t="shared" si="30"/>
        <v>0.84793981481481129</v>
      </c>
      <c r="E290" s="92">
        <f>IF(H290=0,0,G290*('Atsipirkimo vertinimas'!$N$19)/12)</f>
        <v>-0.1826157407407443</v>
      </c>
      <c r="F290" s="92">
        <f>($G$4/('Atsipirkimo vertinimas'!$N$18*12-'Atsipirkimo vertinimas'!$N$20)*H290)</f>
        <v>0.97222222222222221</v>
      </c>
      <c r="G290" s="92">
        <f t="shared" si="33"/>
        <v>-44.722222222223095</v>
      </c>
      <c r="H290">
        <f>IF(C290-'Atsipirkimo vertinimas'!$N$20&lt;0,0,1)</f>
        <v>1</v>
      </c>
      <c r="I290" s="92"/>
      <c r="J290" s="92">
        <f t="shared" si="31"/>
        <v>0</v>
      </c>
      <c r="K290" s="92"/>
      <c r="L290" s="88"/>
      <c r="N290" s="88">
        <v>286</v>
      </c>
      <c r="O290" s="92">
        <f t="shared" si="32"/>
        <v>5.8333333333333355E-2</v>
      </c>
      <c r="P290" s="92">
        <f>IF($Z$64&lt;S290+(S290*(('Atsipirkimo vertinimas'!$N$19)/12)),($Z$64*T290)+(Q290*U290),S290+(S290*(('Atsipirkimo vertinimas'!$N$19)/12)))</f>
        <v>0</v>
      </c>
      <c r="Q290" s="92">
        <f>IF(T290=0,0,S290*('Atsipirkimo vertinimas'!$N$19)/12)</f>
        <v>0</v>
      </c>
      <c r="R290" s="92">
        <f t="shared" si="34"/>
        <v>0</v>
      </c>
      <c r="S290" s="92">
        <f t="shared" si="35"/>
        <v>0</v>
      </c>
      <c r="T290">
        <f>IF(N290-'Atsipirkimo vertinimas'!$N$20&lt;0,0,1)</f>
        <v>1</v>
      </c>
      <c r="U290">
        <f>IF(N290-'Atsipirkimo vertinimas'!$N$20&gt;=0,0,1)</f>
        <v>0</v>
      </c>
      <c r="V290" s="92"/>
      <c r="W290" s="92"/>
      <c r="X290" s="88"/>
    </row>
    <row r="291" spans="3:24" x14ac:dyDescent="0.25">
      <c r="C291" s="88">
        <v>287</v>
      </c>
      <c r="D291" s="92">
        <f t="shared" si="30"/>
        <v>0.84396990740740385</v>
      </c>
      <c r="E291" s="92">
        <f>IF(H291=0,0,G291*('Atsipirkimo vertinimas'!$N$19)/12)</f>
        <v>-0.18658564814815171</v>
      </c>
      <c r="F291" s="92">
        <f>($G$4/('Atsipirkimo vertinimas'!$N$18*12-'Atsipirkimo vertinimas'!$N$20)*H291)</f>
        <v>0.97222222222222221</v>
      </c>
      <c r="G291" s="92">
        <f t="shared" si="33"/>
        <v>-45.694444444445317</v>
      </c>
      <c r="H291">
        <f>IF(C291-'Atsipirkimo vertinimas'!$N$20&lt;0,0,1)</f>
        <v>1</v>
      </c>
      <c r="I291" s="92"/>
      <c r="J291" s="92">
        <f t="shared" si="31"/>
        <v>0</v>
      </c>
      <c r="K291" s="92"/>
      <c r="L291" s="91">
        <f>IF('Atsipirkimo vertinimas'!$N$18*12&gt;Grafikas!C291,SUM(D280:D291),0)</f>
        <v>0</v>
      </c>
      <c r="N291" s="88">
        <v>287</v>
      </c>
      <c r="O291" s="92">
        <f t="shared" si="32"/>
        <v>5.8333333333333355E-2</v>
      </c>
      <c r="P291" s="92">
        <f>IF($Z$64&lt;S291+(S291*(('Atsipirkimo vertinimas'!$N$19)/12)),($Z$64*T291)+(Q291*U291),S291+(S291*(('Atsipirkimo vertinimas'!$N$19)/12)))</f>
        <v>0</v>
      </c>
      <c r="Q291" s="92">
        <f>IF(T291=0,0,S291*('Atsipirkimo vertinimas'!$N$19)/12)</f>
        <v>0</v>
      </c>
      <c r="R291" s="92">
        <f t="shared" si="34"/>
        <v>0</v>
      </c>
      <c r="S291" s="92">
        <f t="shared" si="35"/>
        <v>0</v>
      </c>
      <c r="T291">
        <f>IF(N291-'Atsipirkimo vertinimas'!$N$20&lt;0,0,1)</f>
        <v>1</v>
      </c>
      <c r="U291">
        <f>IF(N291-'Atsipirkimo vertinimas'!$N$20&gt;=0,0,1)</f>
        <v>0</v>
      </c>
      <c r="V291" s="92"/>
      <c r="W291" s="92"/>
      <c r="X291" s="91">
        <f>IF('Atsipirkimo vertinimas'!$N$18*12&gt;Grafikas!C291,SUM(O280:O291),0)</f>
        <v>0</v>
      </c>
    </row>
    <row r="292" spans="3:24" x14ac:dyDescent="0.25">
      <c r="C292" s="88">
        <v>288</v>
      </c>
      <c r="D292" s="92">
        <f t="shared" si="30"/>
        <v>0.83999999999999642</v>
      </c>
      <c r="E292" s="92">
        <f>IF(H292=0,0,G292*('Atsipirkimo vertinimas'!$N$19)/12)</f>
        <v>-0.19055555555555911</v>
      </c>
      <c r="F292" s="92">
        <f>($G$4/('Atsipirkimo vertinimas'!$N$18*12-'Atsipirkimo vertinimas'!$N$20)*H292)</f>
        <v>0.97222222222222221</v>
      </c>
      <c r="G292" s="92">
        <f t="shared" si="33"/>
        <v>-46.666666666667538</v>
      </c>
      <c r="H292">
        <f>IF(C292-'Atsipirkimo vertinimas'!$N$20&lt;0,0,1)</f>
        <v>1</v>
      </c>
      <c r="I292" s="92"/>
      <c r="J292" s="92">
        <f t="shared" si="31"/>
        <v>0</v>
      </c>
      <c r="K292" s="92"/>
      <c r="L292" s="88"/>
      <c r="N292" s="88">
        <v>288</v>
      </c>
      <c r="O292" s="92">
        <f t="shared" si="32"/>
        <v>5.8333333333333355E-2</v>
      </c>
      <c r="P292" s="92">
        <f>IF($Z$64&lt;S292+(S292*(('Atsipirkimo vertinimas'!$N$19)/12)),($Z$64*T292)+(Q292*U292),S292+(S292*(('Atsipirkimo vertinimas'!$N$19)/12)))</f>
        <v>0</v>
      </c>
      <c r="Q292" s="92">
        <f>IF(T292=0,0,S292*('Atsipirkimo vertinimas'!$N$19)/12)</f>
        <v>0</v>
      </c>
      <c r="R292" s="92">
        <f t="shared" si="34"/>
        <v>0</v>
      </c>
      <c r="S292" s="92">
        <f t="shared" si="35"/>
        <v>0</v>
      </c>
      <c r="T292">
        <f>IF(N292-'Atsipirkimo vertinimas'!$N$20&lt;0,0,1)</f>
        <v>1</v>
      </c>
      <c r="U292">
        <f>IF(N292-'Atsipirkimo vertinimas'!$N$20&gt;=0,0,1)</f>
        <v>0</v>
      </c>
      <c r="V292" s="92"/>
      <c r="W292" s="92"/>
      <c r="X292" s="88"/>
    </row>
    <row r="293" spans="3:24" x14ac:dyDescent="0.25">
      <c r="C293" s="88">
        <v>289</v>
      </c>
      <c r="D293" s="92">
        <f t="shared" si="30"/>
        <v>0.83603009259258898</v>
      </c>
      <c r="E293" s="92">
        <f>IF(H293=0,0,G293*('Atsipirkimo vertinimas'!$N$19)/12)</f>
        <v>-0.19452546296296655</v>
      </c>
      <c r="F293" s="92">
        <f>($G$4/('Atsipirkimo vertinimas'!$N$18*12-'Atsipirkimo vertinimas'!$N$20)*H293)</f>
        <v>0.97222222222222221</v>
      </c>
      <c r="G293" s="92">
        <f t="shared" si="33"/>
        <v>-47.63888888888976</v>
      </c>
      <c r="H293">
        <f>IF(C293-'Atsipirkimo vertinimas'!$N$20&lt;0,0,1)</f>
        <v>1</v>
      </c>
      <c r="I293" s="92"/>
      <c r="J293" s="92">
        <f t="shared" si="31"/>
        <v>0</v>
      </c>
      <c r="K293" s="92"/>
      <c r="L293" s="88"/>
      <c r="N293" s="88">
        <v>289</v>
      </c>
      <c r="O293" s="92">
        <f t="shared" si="32"/>
        <v>5.8333333333333355E-2</v>
      </c>
      <c r="P293" s="92">
        <f>IF($Z$64&lt;S293+(S293*(('Atsipirkimo vertinimas'!$N$19)/12)),($Z$64*T293)+(Q293*U293),S293+(S293*(('Atsipirkimo vertinimas'!$N$19)/12)))</f>
        <v>0</v>
      </c>
      <c r="Q293" s="92">
        <f>IF(T293=0,0,S293*('Atsipirkimo vertinimas'!$N$19)/12)</f>
        <v>0</v>
      </c>
      <c r="R293" s="92">
        <f t="shared" si="34"/>
        <v>0</v>
      </c>
      <c r="S293" s="92">
        <f t="shared" si="35"/>
        <v>0</v>
      </c>
      <c r="T293">
        <f>IF(N293-'Atsipirkimo vertinimas'!$N$20&lt;0,0,1)</f>
        <v>1</v>
      </c>
      <c r="U293">
        <f>IF(N293-'Atsipirkimo vertinimas'!$N$20&gt;=0,0,1)</f>
        <v>0</v>
      </c>
      <c r="V293" s="92"/>
      <c r="W293" s="92"/>
      <c r="X293" s="88"/>
    </row>
    <row r="294" spans="3:24" x14ac:dyDescent="0.25">
      <c r="C294" s="88">
        <v>290</v>
      </c>
      <c r="D294" s="92">
        <f t="shared" si="30"/>
        <v>0.83206018518518166</v>
      </c>
      <c r="E294" s="92">
        <f>IF(H294=0,0,G294*('Atsipirkimo vertinimas'!$N$19)/12)</f>
        <v>-0.19849537037037393</v>
      </c>
      <c r="F294" s="92">
        <f>($G$4/('Atsipirkimo vertinimas'!$N$18*12-'Atsipirkimo vertinimas'!$N$20)*H294)</f>
        <v>0.97222222222222221</v>
      </c>
      <c r="G294" s="92">
        <f t="shared" si="33"/>
        <v>-48.611111111111981</v>
      </c>
      <c r="H294">
        <f>IF(C294-'Atsipirkimo vertinimas'!$N$20&lt;0,0,1)</f>
        <v>1</v>
      </c>
      <c r="I294" s="92"/>
      <c r="J294" s="92">
        <f t="shared" si="31"/>
        <v>0</v>
      </c>
      <c r="K294" s="92"/>
      <c r="L294" s="88"/>
      <c r="N294" s="88">
        <v>290</v>
      </c>
      <c r="O294" s="92">
        <f t="shared" si="32"/>
        <v>5.8333333333333355E-2</v>
      </c>
      <c r="P294" s="92">
        <f>IF($Z$64&lt;S294+(S294*(('Atsipirkimo vertinimas'!$N$19)/12)),($Z$64*T294)+(Q294*U294),S294+(S294*(('Atsipirkimo vertinimas'!$N$19)/12)))</f>
        <v>0</v>
      </c>
      <c r="Q294" s="92">
        <f>IF(T294=0,0,S294*('Atsipirkimo vertinimas'!$N$19)/12)</f>
        <v>0</v>
      </c>
      <c r="R294" s="92">
        <f t="shared" si="34"/>
        <v>0</v>
      </c>
      <c r="S294" s="92">
        <f t="shared" si="35"/>
        <v>0</v>
      </c>
      <c r="T294">
        <f>IF(N294-'Atsipirkimo vertinimas'!$N$20&lt;0,0,1)</f>
        <v>1</v>
      </c>
      <c r="U294">
        <f>IF(N294-'Atsipirkimo vertinimas'!$N$20&gt;=0,0,1)</f>
        <v>0</v>
      </c>
      <c r="V294" s="92"/>
      <c r="W294" s="92"/>
      <c r="X294" s="88"/>
    </row>
    <row r="295" spans="3:24" x14ac:dyDescent="0.25">
      <c r="C295" s="88">
        <v>291</v>
      </c>
      <c r="D295" s="92">
        <f t="shared" si="30"/>
        <v>0.82809027777777422</v>
      </c>
      <c r="E295" s="92">
        <f>IF(H295=0,0,G295*('Atsipirkimo vertinimas'!$N$19)/12)</f>
        <v>-0.20246527777778134</v>
      </c>
      <c r="F295" s="92">
        <f>($G$4/('Atsipirkimo vertinimas'!$N$18*12-'Atsipirkimo vertinimas'!$N$20)*H295)</f>
        <v>0.97222222222222221</v>
      </c>
      <c r="G295" s="92">
        <f t="shared" si="33"/>
        <v>-49.583333333334203</v>
      </c>
      <c r="H295">
        <f>IF(C295-'Atsipirkimo vertinimas'!$N$20&lt;0,0,1)</f>
        <v>1</v>
      </c>
      <c r="I295" s="92"/>
      <c r="J295" s="92">
        <f t="shared" si="31"/>
        <v>0</v>
      </c>
      <c r="K295" s="92"/>
      <c r="L295" s="88"/>
      <c r="N295" s="88">
        <v>291</v>
      </c>
      <c r="O295" s="92">
        <f t="shared" si="32"/>
        <v>5.8333333333333355E-2</v>
      </c>
      <c r="P295" s="92">
        <f>IF($Z$64&lt;S295+(S295*(('Atsipirkimo vertinimas'!$N$19)/12)),($Z$64*T295)+(Q295*U295),S295+(S295*(('Atsipirkimo vertinimas'!$N$19)/12)))</f>
        <v>0</v>
      </c>
      <c r="Q295" s="92">
        <f>IF(T295=0,0,S295*('Atsipirkimo vertinimas'!$N$19)/12)</f>
        <v>0</v>
      </c>
      <c r="R295" s="92">
        <f t="shared" si="34"/>
        <v>0</v>
      </c>
      <c r="S295" s="92">
        <f t="shared" si="35"/>
        <v>0</v>
      </c>
      <c r="T295">
        <f>IF(N295-'Atsipirkimo vertinimas'!$N$20&lt;0,0,1)</f>
        <v>1</v>
      </c>
      <c r="U295">
        <f>IF(N295-'Atsipirkimo vertinimas'!$N$20&gt;=0,0,1)</f>
        <v>0</v>
      </c>
      <c r="V295" s="92"/>
      <c r="W295" s="92"/>
      <c r="X295" s="88"/>
    </row>
    <row r="296" spans="3:24" x14ac:dyDescent="0.25">
      <c r="C296" s="88">
        <v>292</v>
      </c>
      <c r="D296" s="92">
        <f t="shared" si="30"/>
        <v>0.82412037037036678</v>
      </c>
      <c r="E296" s="92">
        <f>IF(H296=0,0,G296*('Atsipirkimo vertinimas'!$N$19)/12)</f>
        <v>-0.20643518518518875</v>
      </c>
      <c r="F296" s="92">
        <f>($G$4/('Atsipirkimo vertinimas'!$N$18*12-'Atsipirkimo vertinimas'!$N$20)*H296)</f>
        <v>0.97222222222222221</v>
      </c>
      <c r="G296" s="92">
        <f t="shared" si="33"/>
        <v>-50.555555555556424</v>
      </c>
      <c r="H296">
        <f>IF(C296-'Atsipirkimo vertinimas'!$N$20&lt;0,0,1)</f>
        <v>1</v>
      </c>
      <c r="I296" s="92"/>
      <c r="J296" s="92">
        <f t="shared" si="31"/>
        <v>0</v>
      </c>
      <c r="K296" s="92"/>
      <c r="L296" s="88"/>
      <c r="N296" s="88">
        <v>292</v>
      </c>
      <c r="O296" s="92">
        <f t="shared" si="32"/>
        <v>5.8333333333333355E-2</v>
      </c>
      <c r="P296" s="92">
        <f>IF($Z$64&lt;S296+(S296*(('Atsipirkimo vertinimas'!$N$19)/12)),($Z$64*T296)+(Q296*U296),S296+(S296*(('Atsipirkimo vertinimas'!$N$19)/12)))</f>
        <v>0</v>
      </c>
      <c r="Q296" s="92">
        <f>IF(T296=0,0,S296*('Atsipirkimo vertinimas'!$N$19)/12)</f>
        <v>0</v>
      </c>
      <c r="R296" s="92">
        <f t="shared" si="34"/>
        <v>0</v>
      </c>
      <c r="S296" s="92">
        <f t="shared" si="35"/>
        <v>0</v>
      </c>
      <c r="T296">
        <f>IF(N296-'Atsipirkimo vertinimas'!$N$20&lt;0,0,1)</f>
        <v>1</v>
      </c>
      <c r="U296">
        <f>IF(N296-'Atsipirkimo vertinimas'!$N$20&gt;=0,0,1)</f>
        <v>0</v>
      </c>
      <c r="V296" s="92"/>
      <c r="W296" s="92"/>
      <c r="X296" s="88"/>
    </row>
    <row r="297" spans="3:24" x14ac:dyDescent="0.25">
      <c r="C297" s="88">
        <v>293</v>
      </c>
      <c r="D297" s="92">
        <f t="shared" si="30"/>
        <v>0.82015046296295946</v>
      </c>
      <c r="E297" s="92">
        <f>IF(H297=0,0,G297*('Atsipirkimo vertinimas'!$N$19)/12)</f>
        <v>-0.21040509259259613</v>
      </c>
      <c r="F297" s="92">
        <f>($G$4/('Atsipirkimo vertinimas'!$N$18*12-'Atsipirkimo vertinimas'!$N$20)*H297)</f>
        <v>0.97222222222222221</v>
      </c>
      <c r="G297" s="92">
        <f t="shared" si="33"/>
        <v>-51.527777777778645</v>
      </c>
      <c r="H297">
        <f>IF(C297-'Atsipirkimo vertinimas'!$N$20&lt;0,0,1)</f>
        <v>1</v>
      </c>
      <c r="I297" s="92"/>
      <c r="J297" s="92">
        <f t="shared" si="31"/>
        <v>0</v>
      </c>
      <c r="K297" s="92"/>
      <c r="L297" s="88"/>
      <c r="N297" s="88">
        <v>293</v>
      </c>
      <c r="O297" s="92">
        <f t="shared" si="32"/>
        <v>5.8333333333333355E-2</v>
      </c>
      <c r="P297" s="92">
        <f>IF($Z$64&lt;S297+(S297*(('Atsipirkimo vertinimas'!$N$19)/12)),($Z$64*T297)+(Q297*U297),S297+(S297*(('Atsipirkimo vertinimas'!$N$19)/12)))</f>
        <v>0</v>
      </c>
      <c r="Q297" s="92">
        <f>IF(T297=0,0,S297*('Atsipirkimo vertinimas'!$N$19)/12)</f>
        <v>0</v>
      </c>
      <c r="R297" s="92">
        <f t="shared" si="34"/>
        <v>0</v>
      </c>
      <c r="S297" s="92">
        <f t="shared" si="35"/>
        <v>0</v>
      </c>
      <c r="T297">
        <f>IF(N297-'Atsipirkimo vertinimas'!$N$20&lt;0,0,1)</f>
        <v>1</v>
      </c>
      <c r="U297">
        <f>IF(N297-'Atsipirkimo vertinimas'!$N$20&gt;=0,0,1)</f>
        <v>0</v>
      </c>
      <c r="V297" s="92"/>
      <c r="W297" s="92"/>
      <c r="X297" s="88"/>
    </row>
    <row r="298" spans="3:24" x14ac:dyDescent="0.25">
      <c r="C298" s="88">
        <v>294</v>
      </c>
      <c r="D298" s="92">
        <f t="shared" si="30"/>
        <v>0.81618055555555202</v>
      </c>
      <c r="E298" s="92">
        <f>IF(H298=0,0,G298*('Atsipirkimo vertinimas'!$N$19)/12)</f>
        <v>-0.21437500000000353</v>
      </c>
      <c r="F298" s="92">
        <f>($G$4/('Atsipirkimo vertinimas'!$N$18*12-'Atsipirkimo vertinimas'!$N$20)*H298)</f>
        <v>0.97222222222222221</v>
      </c>
      <c r="G298" s="92">
        <f t="shared" si="33"/>
        <v>-52.500000000000867</v>
      </c>
      <c r="H298">
        <f>IF(C298-'Atsipirkimo vertinimas'!$N$20&lt;0,0,1)</f>
        <v>1</v>
      </c>
      <c r="I298" s="92"/>
      <c r="J298" s="92">
        <f t="shared" si="31"/>
        <v>0</v>
      </c>
      <c r="K298" s="92"/>
      <c r="L298" s="88"/>
      <c r="N298" s="88">
        <v>294</v>
      </c>
      <c r="O298" s="92">
        <f t="shared" si="32"/>
        <v>5.8333333333333355E-2</v>
      </c>
      <c r="P298" s="92">
        <f>IF($Z$64&lt;S298+(S298*(('Atsipirkimo vertinimas'!$N$19)/12)),($Z$64*T298)+(Q298*U298),S298+(S298*(('Atsipirkimo vertinimas'!$N$19)/12)))</f>
        <v>0</v>
      </c>
      <c r="Q298" s="92">
        <f>IF(T298=0,0,S298*('Atsipirkimo vertinimas'!$N$19)/12)</f>
        <v>0</v>
      </c>
      <c r="R298" s="92">
        <f t="shared" si="34"/>
        <v>0</v>
      </c>
      <c r="S298" s="92">
        <f t="shared" si="35"/>
        <v>0</v>
      </c>
      <c r="T298">
        <f>IF(N298-'Atsipirkimo vertinimas'!$N$20&lt;0,0,1)</f>
        <v>1</v>
      </c>
      <c r="U298">
        <f>IF(N298-'Atsipirkimo vertinimas'!$N$20&gt;=0,0,1)</f>
        <v>0</v>
      </c>
      <c r="V298" s="92"/>
      <c r="W298" s="92"/>
      <c r="X298" s="88"/>
    </row>
    <row r="299" spans="3:24" x14ac:dyDescent="0.25">
      <c r="C299" s="88">
        <v>295</v>
      </c>
      <c r="D299" s="92">
        <f t="shared" si="30"/>
        <v>0.81221064814814459</v>
      </c>
      <c r="E299" s="92">
        <f>IF(H299=0,0,G299*('Atsipirkimo vertinimas'!$N$19)/12)</f>
        <v>-0.21834490740741094</v>
      </c>
      <c r="F299" s="92">
        <f>($G$4/('Atsipirkimo vertinimas'!$N$18*12-'Atsipirkimo vertinimas'!$N$20)*H299)</f>
        <v>0.97222222222222221</v>
      </c>
      <c r="G299" s="92">
        <f t="shared" si="33"/>
        <v>-53.472222222223088</v>
      </c>
      <c r="H299">
        <f>IF(C299-'Atsipirkimo vertinimas'!$N$20&lt;0,0,1)</f>
        <v>1</v>
      </c>
      <c r="I299" s="92"/>
      <c r="J299" s="92">
        <f t="shared" si="31"/>
        <v>0</v>
      </c>
      <c r="K299" s="92"/>
      <c r="L299" s="88"/>
      <c r="N299" s="88">
        <v>295</v>
      </c>
      <c r="O299" s="92">
        <f t="shared" si="32"/>
        <v>5.8333333333333355E-2</v>
      </c>
      <c r="P299" s="92">
        <f>IF($Z$64&lt;S299+(S299*(('Atsipirkimo vertinimas'!$N$19)/12)),($Z$64*T299)+(Q299*U299),S299+(S299*(('Atsipirkimo vertinimas'!$N$19)/12)))</f>
        <v>0</v>
      </c>
      <c r="Q299" s="92">
        <f>IF(T299=0,0,S299*('Atsipirkimo vertinimas'!$N$19)/12)</f>
        <v>0</v>
      </c>
      <c r="R299" s="92">
        <f t="shared" si="34"/>
        <v>0</v>
      </c>
      <c r="S299" s="92">
        <f t="shared" si="35"/>
        <v>0</v>
      </c>
      <c r="T299">
        <f>IF(N299-'Atsipirkimo vertinimas'!$N$20&lt;0,0,1)</f>
        <v>1</v>
      </c>
      <c r="U299">
        <f>IF(N299-'Atsipirkimo vertinimas'!$N$20&gt;=0,0,1)</f>
        <v>0</v>
      </c>
      <c r="V299" s="92"/>
      <c r="W299" s="92"/>
      <c r="X299" s="88"/>
    </row>
    <row r="300" spans="3:24" x14ac:dyDescent="0.25">
      <c r="C300" s="88">
        <v>296</v>
      </c>
      <c r="D300" s="92">
        <f t="shared" si="30"/>
        <v>0.80824074074073715</v>
      </c>
      <c r="E300" s="92">
        <f>IF(H300=0,0,G300*('Atsipirkimo vertinimas'!$N$19)/12)</f>
        <v>-0.22231481481481838</v>
      </c>
      <c r="F300" s="92">
        <f>($G$4/('Atsipirkimo vertinimas'!$N$18*12-'Atsipirkimo vertinimas'!$N$20)*H300)</f>
        <v>0.97222222222222221</v>
      </c>
      <c r="G300" s="92">
        <f t="shared" si="33"/>
        <v>-54.44444444444531</v>
      </c>
      <c r="H300">
        <f>IF(C300-'Atsipirkimo vertinimas'!$N$20&lt;0,0,1)</f>
        <v>1</v>
      </c>
      <c r="I300" s="92"/>
      <c r="J300" s="92">
        <f t="shared" si="31"/>
        <v>0</v>
      </c>
      <c r="K300" s="92"/>
      <c r="L300" s="88"/>
      <c r="N300" s="88">
        <v>296</v>
      </c>
      <c r="O300" s="92">
        <f t="shared" si="32"/>
        <v>5.8333333333333355E-2</v>
      </c>
      <c r="P300" s="92">
        <f>IF($Z$64&lt;S300+(S300*(('Atsipirkimo vertinimas'!$N$19)/12)),($Z$64*T300)+(Q300*U300),S300+(S300*(('Atsipirkimo vertinimas'!$N$19)/12)))</f>
        <v>0</v>
      </c>
      <c r="Q300" s="92">
        <f>IF(T300=0,0,S300*('Atsipirkimo vertinimas'!$N$19)/12)</f>
        <v>0</v>
      </c>
      <c r="R300" s="92">
        <f t="shared" si="34"/>
        <v>0</v>
      </c>
      <c r="S300" s="92">
        <f t="shared" si="35"/>
        <v>0</v>
      </c>
      <c r="T300">
        <f>IF(N300-'Atsipirkimo vertinimas'!$N$20&lt;0,0,1)</f>
        <v>1</v>
      </c>
      <c r="U300">
        <f>IF(N300-'Atsipirkimo vertinimas'!$N$20&gt;=0,0,1)</f>
        <v>0</v>
      </c>
      <c r="V300" s="92"/>
      <c r="W300" s="92"/>
      <c r="X300" s="88"/>
    </row>
    <row r="301" spans="3:24" x14ac:dyDescent="0.25">
      <c r="C301" s="88">
        <v>297</v>
      </c>
      <c r="D301" s="92">
        <f t="shared" si="30"/>
        <v>0.80427083333332983</v>
      </c>
      <c r="E301" s="92">
        <f>IF(H301=0,0,G301*('Atsipirkimo vertinimas'!$N$19)/12)</f>
        <v>-0.22628472222222576</v>
      </c>
      <c r="F301" s="92">
        <f>($G$4/('Atsipirkimo vertinimas'!$N$18*12-'Atsipirkimo vertinimas'!$N$20)*H301)</f>
        <v>0.97222222222222221</v>
      </c>
      <c r="G301" s="92">
        <f t="shared" si="33"/>
        <v>-55.416666666667531</v>
      </c>
      <c r="H301">
        <f>IF(C301-'Atsipirkimo vertinimas'!$N$20&lt;0,0,1)</f>
        <v>1</v>
      </c>
      <c r="I301" s="92"/>
      <c r="J301" s="92">
        <f t="shared" si="31"/>
        <v>0</v>
      </c>
      <c r="K301" s="92"/>
      <c r="L301" s="88"/>
      <c r="N301" s="88">
        <v>297</v>
      </c>
      <c r="O301" s="92">
        <f t="shared" si="32"/>
        <v>5.8333333333333355E-2</v>
      </c>
      <c r="P301" s="92">
        <f>IF($Z$64&lt;S301+(S301*(('Atsipirkimo vertinimas'!$N$19)/12)),($Z$64*T301)+(Q301*U301),S301+(S301*(('Atsipirkimo vertinimas'!$N$19)/12)))</f>
        <v>0</v>
      </c>
      <c r="Q301" s="92">
        <f>IF(T301=0,0,S301*('Atsipirkimo vertinimas'!$N$19)/12)</f>
        <v>0</v>
      </c>
      <c r="R301" s="92">
        <f t="shared" si="34"/>
        <v>0</v>
      </c>
      <c r="S301" s="92">
        <f t="shared" si="35"/>
        <v>0</v>
      </c>
      <c r="T301">
        <f>IF(N301-'Atsipirkimo vertinimas'!$N$20&lt;0,0,1)</f>
        <v>1</v>
      </c>
      <c r="U301">
        <f>IF(N301-'Atsipirkimo vertinimas'!$N$20&gt;=0,0,1)</f>
        <v>0</v>
      </c>
      <c r="V301" s="92"/>
      <c r="W301" s="92"/>
      <c r="X301" s="88"/>
    </row>
    <row r="302" spans="3:24" x14ac:dyDescent="0.25">
      <c r="C302" s="88">
        <v>298</v>
      </c>
      <c r="D302" s="92">
        <f t="shared" si="30"/>
        <v>0.80030092592592239</v>
      </c>
      <c r="E302" s="92">
        <f>IF(H302=0,0,G302*('Atsipirkimo vertinimas'!$N$19)/12)</f>
        <v>-0.23025462962963317</v>
      </c>
      <c r="F302" s="92">
        <f>($G$4/('Atsipirkimo vertinimas'!$N$18*12-'Atsipirkimo vertinimas'!$N$20)*H302)</f>
        <v>0.97222222222222221</v>
      </c>
      <c r="G302" s="92">
        <f t="shared" si="33"/>
        <v>-56.388888888889753</v>
      </c>
      <c r="H302">
        <f>IF(C302-'Atsipirkimo vertinimas'!$N$20&lt;0,0,1)</f>
        <v>1</v>
      </c>
      <c r="I302" s="92"/>
      <c r="J302" s="92">
        <f t="shared" si="31"/>
        <v>0</v>
      </c>
      <c r="K302" s="92"/>
      <c r="L302" s="88"/>
      <c r="N302" s="88">
        <v>298</v>
      </c>
      <c r="O302" s="92">
        <f t="shared" si="32"/>
        <v>5.8333333333333355E-2</v>
      </c>
      <c r="P302" s="92">
        <f>IF($Z$64&lt;S302+(S302*(('Atsipirkimo vertinimas'!$N$19)/12)),($Z$64*T302)+(Q302*U302),S302+(S302*(('Atsipirkimo vertinimas'!$N$19)/12)))</f>
        <v>0</v>
      </c>
      <c r="Q302" s="92">
        <f>IF(T302=0,0,S302*('Atsipirkimo vertinimas'!$N$19)/12)</f>
        <v>0</v>
      </c>
      <c r="R302" s="92">
        <f t="shared" si="34"/>
        <v>0</v>
      </c>
      <c r="S302" s="92">
        <f t="shared" si="35"/>
        <v>0</v>
      </c>
      <c r="T302">
        <f>IF(N302-'Atsipirkimo vertinimas'!$N$20&lt;0,0,1)</f>
        <v>1</v>
      </c>
      <c r="U302">
        <f>IF(N302-'Atsipirkimo vertinimas'!$N$20&gt;=0,0,1)</f>
        <v>0</v>
      </c>
      <c r="V302" s="92"/>
      <c r="W302" s="92"/>
      <c r="X302" s="88"/>
    </row>
    <row r="303" spans="3:24" x14ac:dyDescent="0.25">
      <c r="C303" s="88">
        <v>299</v>
      </c>
      <c r="D303" s="92">
        <f t="shared" si="30"/>
        <v>0.79633101851851495</v>
      </c>
      <c r="E303" s="92">
        <f>IF(H303=0,0,G303*('Atsipirkimo vertinimas'!$N$19)/12)</f>
        <v>-0.23422453703704058</v>
      </c>
      <c r="F303" s="92">
        <f>($G$4/('Atsipirkimo vertinimas'!$N$18*12-'Atsipirkimo vertinimas'!$N$20)*H303)</f>
        <v>0.97222222222222221</v>
      </c>
      <c r="G303" s="92">
        <f t="shared" si="33"/>
        <v>-57.361111111111974</v>
      </c>
      <c r="H303">
        <f>IF(C303-'Atsipirkimo vertinimas'!$N$20&lt;0,0,1)</f>
        <v>1</v>
      </c>
      <c r="I303" s="92"/>
      <c r="J303" s="92">
        <f t="shared" si="31"/>
        <v>0</v>
      </c>
      <c r="K303" s="92"/>
      <c r="L303" s="91">
        <f>IF('Atsipirkimo vertinimas'!$N$18*12&gt;Grafikas!C303,SUM(D292:D303),0)</f>
        <v>0</v>
      </c>
      <c r="N303" s="88">
        <v>299</v>
      </c>
      <c r="O303" s="92">
        <f t="shared" si="32"/>
        <v>5.8333333333333355E-2</v>
      </c>
      <c r="P303" s="92">
        <f>IF($Z$64&lt;S303+(S303*(('Atsipirkimo vertinimas'!$N$19)/12)),($Z$64*T303)+(Q303*U303),S303+(S303*(('Atsipirkimo vertinimas'!$N$19)/12)))</f>
        <v>0</v>
      </c>
      <c r="Q303" s="92">
        <f>IF(T303=0,0,S303*('Atsipirkimo vertinimas'!$N$19)/12)</f>
        <v>0</v>
      </c>
      <c r="R303" s="92">
        <f t="shared" si="34"/>
        <v>0</v>
      </c>
      <c r="S303" s="92">
        <f t="shared" si="35"/>
        <v>0</v>
      </c>
      <c r="T303">
        <f>IF(N303-'Atsipirkimo vertinimas'!$N$20&lt;0,0,1)</f>
        <v>1</v>
      </c>
      <c r="U303">
        <f>IF(N303-'Atsipirkimo vertinimas'!$N$20&gt;=0,0,1)</f>
        <v>0</v>
      </c>
      <c r="V303" s="92"/>
      <c r="W303" s="92"/>
      <c r="X303" s="91">
        <f>IF('Atsipirkimo vertinimas'!$N$18*12&gt;Grafikas!C303,SUM(O292:O303),0)</f>
        <v>0</v>
      </c>
    </row>
    <row r="304" spans="3:24" x14ac:dyDescent="0.25">
      <c r="C304" s="88">
        <v>300</v>
      </c>
      <c r="D304" s="92">
        <f t="shared" si="30"/>
        <v>0.79236111111110763</v>
      </c>
      <c r="E304" s="92">
        <f>IF(H304=0,0,G304*('Atsipirkimo vertinimas'!$N$19)/12)</f>
        <v>-0.23819444444444796</v>
      </c>
      <c r="F304" s="92">
        <f>($G$4/('Atsipirkimo vertinimas'!$N$18*12-'Atsipirkimo vertinimas'!$N$20)*H304)</f>
        <v>0.97222222222222221</v>
      </c>
      <c r="G304" s="92">
        <f t="shared" si="33"/>
        <v>-58.333333333334195</v>
      </c>
      <c r="H304">
        <f>IF(C304-'Atsipirkimo vertinimas'!$N$20&lt;0,0,1)</f>
        <v>1</v>
      </c>
      <c r="I304" s="92"/>
      <c r="J304" s="92">
        <f t="shared" si="31"/>
        <v>0</v>
      </c>
      <c r="K304" s="92"/>
      <c r="L304" s="88"/>
      <c r="N304" s="88">
        <v>300</v>
      </c>
      <c r="O304" s="92">
        <f t="shared" si="32"/>
        <v>5.8333333333333355E-2</v>
      </c>
      <c r="P304" s="92">
        <f>IF($Z$64&lt;S304+(S304*(('Atsipirkimo vertinimas'!$N$19)/12)),($Z$64*T304)+(Q304*U304),S304+(S304*(('Atsipirkimo vertinimas'!$N$19)/12)))</f>
        <v>0</v>
      </c>
      <c r="Q304" s="92">
        <f>IF(T304=0,0,S304*('Atsipirkimo vertinimas'!$N$19)/12)</f>
        <v>0</v>
      </c>
      <c r="R304" s="92">
        <f t="shared" si="34"/>
        <v>0</v>
      </c>
      <c r="S304" s="92">
        <f t="shared" si="35"/>
        <v>0</v>
      </c>
      <c r="T304">
        <f>IF(N304-'Atsipirkimo vertinimas'!$N$20&lt;0,0,1)</f>
        <v>1</v>
      </c>
      <c r="U304">
        <f>IF(N304-'Atsipirkimo vertinimas'!$N$20&gt;=0,0,1)</f>
        <v>0</v>
      </c>
      <c r="V304" s="92"/>
      <c r="W304" s="92"/>
      <c r="X304" s="88"/>
    </row>
    <row r="305" spans="3:24" x14ac:dyDescent="0.25">
      <c r="C305" s="88">
        <v>301</v>
      </c>
      <c r="D305" s="92">
        <f t="shared" si="30"/>
        <v>0.78839120370370019</v>
      </c>
      <c r="E305" s="92">
        <f>IF(H305=0,0,G305*('Atsipirkimo vertinimas'!$N$19)/12)</f>
        <v>-0.24216435185185536</v>
      </c>
      <c r="F305" s="92">
        <f>($G$4/('Atsipirkimo vertinimas'!$N$18*12-'Atsipirkimo vertinimas'!$N$20)*H305)</f>
        <v>0.97222222222222221</v>
      </c>
      <c r="G305" s="92">
        <f t="shared" si="33"/>
        <v>-59.305555555556417</v>
      </c>
      <c r="H305">
        <f>IF(C305-'Atsipirkimo vertinimas'!$N$20&lt;0,0,1)</f>
        <v>1</v>
      </c>
      <c r="I305" s="92"/>
      <c r="J305" s="92">
        <f t="shared" si="31"/>
        <v>0</v>
      </c>
      <c r="K305" s="92"/>
      <c r="L305" s="88"/>
      <c r="N305" s="88">
        <v>301</v>
      </c>
      <c r="O305" s="92">
        <f t="shared" si="32"/>
        <v>5.8333333333333355E-2</v>
      </c>
      <c r="P305" s="92">
        <f>IF($Z$64&lt;S305+(S305*(('Atsipirkimo vertinimas'!$N$19)/12)),($Z$64*T305)+(Q305*U305),S305+(S305*(('Atsipirkimo vertinimas'!$N$19)/12)))</f>
        <v>0</v>
      </c>
      <c r="Q305" s="92">
        <f>IF(T305=0,0,S305*('Atsipirkimo vertinimas'!$N$19)/12)</f>
        <v>0</v>
      </c>
      <c r="R305" s="92">
        <f t="shared" si="34"/>
        <v>0</v>
      </c>
      <c r="S305" s="92">
        <f t="shared" si="35"/>
        <v>0</v>
      </c>
      <c r="T305">
        <f>IF(N305-'Atsipirkimo vertinimas'!$N$20&lt;0,0,1)</f>
        <v>1</v>
      </c>
      <c r="U305">
        <f>IF(N305-'Atsipirkimo vertinimas'!$N$20&gt;=0,0,1)</f>
        <v>0</v>
      </c>
      <c r="V305" s="92"/>
      <c r="W305" s="92"/>
      <c r="X305" s="88"/>
    </row>
    <row r="306" spans="3:24" x14ac:dyDescent="0.25">
      <c r="C306" s="88">
        <v>302</v>
      </c>
      <c r="D306" s="92">
        <f t="shared" si="30"/>
        <v>0.78442129629629276</v>
      </c>
      <c r="E306" s="92">
        <f>IF(H306=0,0,G306*('Atsipirkimo vertinimas'!$N$19)/12)</f>
        <v>-0.2461342592592628</v>
      </c>
      <c r="F306" s="92">
        <f>($G$4/('Atsipirkimo vertinimas'!$N$18*12-'Atsipirkimo vertinimas'!$N$20)*H306)</f>
        <v>0.97222222222222221</v>
      </c>
      <c r="G306" s="92">
        <f t="shared" si="33"/>
        <v>-60.277777777778638</v>
      </c>
      <c r="H306">
        <f>IF(C306-'Atsipirkimo vertinimas'!$N$20&lt;0,0,1)</f>
        <v>1</v>
      </c>
      <c r="I306" s="92"/>
      <c r="J306" s="92">
        <f t="shared" si="31"/>
        <v>0</v>
      </c>
      <c r="K306" s="92"/>
      <c r="L306" s="88"/>
      <c r="N306" s="88">
        <v>302</v>
      </c>
      <c r="O306" s="92">
        <f t="shared" si="32"/>
        <v>5.8333333333333355E-2</v>
      </c>
      <c r="P306" s="92">
        <f>IF($Z$64&lt;S306+(S306*(('Atsipirkimo vertinimas'!$N$19)/12)),($Z$64*T306)+(Q306*U306),S306+(S306*(('Atsipirkimo vertinimas'!$N$19)/12)))</f>
        <v>0</v>
      </c>
      <c r="Q306" s="92">
        <f>IF(T306=0,0,S306*('Atsipirkimo vertinimas'!$N$19)/12)</f>
        <v>0</v>
      </c>
      <c r="R306" s="92">
        <f t="shared" si="34"/>
        <v>0</v>
      </c>
      <c r="S306" s="92">
        <f t="shared" si="35"/>
        <v>0</v>
      </c>
      <c r="T306">
        <f>IF(N306-'Atsipirkimo vertinimas'!$N$20&lt;0,0,1)</f>
        <v>1</v>
      </c>
      <c r="U306">
        <f>IF(N306-'Atsipirkimo vertinimas'!$N$20&gt;=0,0,1)</f>
        <v>0</v>
      </c>
      <c r="V306" s="92"/>
      <c r="W306" s="92"/>
      <c r="X306" s="88"/>
    </row>
    <row r="307" spans="3:24" x14ac:dyDescent="0.25">
      <c r="C307" s="88">
        <v>303</v>
      </c>
      <c r="D307" s="92">
        <f t="shared" si="30"/>
        <v>0.78045138888888532</v>
      </c>
      <c r="E307" s="92">
        <f>IF(H307=0,0,G307*('Atsipirkimo vertinimas'!$N$19)/12)</f>
        <v>-0.25010416666667018</v>
      </c>
      <c r="F307" s="92">
        <f>($G$4/('Atsipirkimo vertinimas'!$N$18*12-'Atsipirkimo vertinimas'!$N$20)*H307)</f>
        <v>0.97222222222222221</v>
      </c>
      <c r="G307" s="92">
        <f t="shared" si="33"/>
        <v>-61.25000000000086</v>
      </c>
      <c r="H307">
        <f>IF(C307-'Atsipirkimo vertinimas'!$N$20&lt;0,0,1)</f>
        <v>1</v>
      </c>
      <c r="I307" s="92"/>
      <c r="J307" s="92">
        <f t="shared" si="31"/>
        <v>0</v>
      </c>
      <c r="K307" s="92"/>
      <c r="L307" s="88"/>
      <c r="N307" s="88">
        <v>303</v>
      </c>
      <c r="O307" s="92">
        <f t="shared" si="32"/>
        <v>5.8333333333333355E-2</v>
      </c>
      <c r="P307" s="92">
        <f>IF($Z$64&lt;S307+(S307*(('Atsipirkimo vertinimas'!$N$19)/12)),($Z$64*T307)+(Q307*U307),S307+(S307*(('Atsipirkimo vertinimas'!$N$19)/12)))</f>
        <v>0</v>
      </c>
      <c r="Q307" s="92">
        <f>IF(T307=0,0,S307*('Atsipirkimo vertinimas'!$N$19)/12)</f>
        <v>0</v>
      </c>
      <c r="R307" s="92">
        <f t="shared" si="34"/>
        <v>0</v>
      </c>
      <c r="S307" s="92">
        <f t="shared" si="35"/>
        <v>0</v>
      </c>
      <c r="T307">
        <f>IF(N307-'Atsipirkimo vertinimas'!$N$20&lt;0,0,1)</f>
        <v>1</v>
      </c>
      <c r="U307">
        <f>IF(N307-'Atsipirkimo vertinimas'!$N$20&gt;=0,0,1)</f>
        <v>0</v>
      </c>
      <c r="V307" s="92"/>
      <c r="W307" s="92"/>
      <c r="X307" s="88"/>
    </row>
    <row r="308" spans="3:24" x14ac:dyDescent="0.25">
      <c r="C308" s="88">
        <v>304</v>
      </c>
      <c r="D308" s="92">
        <f t="shared" si="30"/>
        <v>0.776481481481478</v>
      </c>
      <c r="E308" s="92">
        <f>IF(H308=0,0,G308*('Atsipirkimo vertinimas'!$N$19)/12)</f>
        <v>-0.25407407407407762</v>
      </c>
      <c r="F308" s="92">
        <f>($G$4/('Atsipirkimo vertinimas'!$N$18*12-'Atsipirkimo vertinimas'!$N$20)*H308)</f>
        <v>0.97222222222222221</v>
      </c>
      <c r="G308" s="92">
        <f t="shared" si="33"/>
        <v>-62.222222222223081</v>
      </c>
      <c r="H308">
        <f>IF(C308-'Atsipirkimo vertinimas'!$N$20&lt;0,0,1)</f>
        <v>1</v>
      </c>
      <c r="I308" s="92"/>
      <c r="J308" s="92">
        <f t="shared" si="31"/>
        <v>0</v>
      </c>
      <c r="K308" s="92"/>
      <c r="L308" s="88"/>
      <c r="N308" s="88">
        <v>304</v>
      </c>
      <c r="O308" s="92">
        <f t="shared" si="32"/>
        <v>5.8333333333333355E-2</v>
      </c>
      <c r="P308" s="92">
        <f>IF($Z$64&lt;S308+(S308*(('Atsipirkimo vertinimas'!$N$19)/12)),($Z$64*T308)+(Q308*U308),S308+(S308*(('Atsipirkimo vertinimas'!$N$19)/12)))</f>
        <v>0</v>
      </c>
      <c r="Q308" s="92">
        <f>IF(T308=0,0,S308*('Atsipirkimo vertinimas'!$N$19)/12)</f>
        <v>0</v>
      </c>
      <c r="R308" s="92">
        <f t="shared" si="34"/>
        <v>0</v>
      </c>
      <c r="S308" s="92">
        <f t="shared" si="35"/>
        <v>0</v>
      </c>
      <c r="T308">
        <f>IF(N308-'Atsipirkimo vertinimas'!$N$20&lt;0,0,1)</f>
        <v>1</v>
      </c>
      <c r="U308">
        <f>IF(N308-'Atsipirkimo vertinimas'!$N$20&gt;=0,0,1)</f>
        <v>0</v>
      </c>
      <c r="V308" s="92"/>
      <c r="W308" s="92"/>
      <c r="X308" s="88"/>
    </row>
    <row r="309" spans="3:24" x14ac:dyDescent="0.25">
      <c r="C309" s="88">
        <v>305</v>
      </c>
      <c r="D309" s="92">
        <f t="shared" si="30"/>
        <v>0.77251157407407056</v>
      </c>
      <c r="E309" s="92">
        <f>IF(H309=0,0,G309*('Atsipirkimo vertinimas'!$N$19)/12)</f>
        <v>-0.258043981481485</v>
      </c>
      <c r="F309" s="92">
        <f>($G$4/('Atsipirkimo vertinimas'!$N$18*12-'Atsipirkimo vertinimas'!$N$20)*H309)</f>
        <v>0.97222222222222221</v>
      </c>
      <c r="G309" s="92">
        <f t="shared" si="33"/>
        <v>-63.194444444445303</v>
      </c>
      <c r="H309">
        <f>IF(C309-'Atsipirkimo vertinimas'!$N$20&lt;0,0,1)</f>
        <v>1</v>
      </c>
      <c r="I309" s="92"/>
      <c r="J309" s="92">
        <f t="shared" si="31"/>
        <v>0</v>
      </c>
      <c r="K309" s="92"/>
      <c r="L309" s="88"/>
      <c r="N309" s="88">
        <v>305</v>
      </c>
      <c r="O309" s="92">
        <f t="shared" si="32"/>
        <v>5.8333333333333355E-2</v>
      </c>
      <c r="P309" s="92">
        <f>IF($Z$64&lt;S309+(S309*(('Atsipirkimo vertinimas'!$N$19)/12)),($Z$64*T309)+(Q309*U309),S309+(S309*(('Atsipirkimo vertinimas'!$N$19)/12)))</f>
        <v>0</v>
      </c>
      <c r="Q309" s="92">
        <f>IF(T309=0,0,S309*('Atsipirkimo vertinimas'!$N$19)/12)</f>
        <v>0</v>
      </c>
      <c r="R309" s="92">
        <f t="shared" si="34"/>
        <v>0</v>
      </c>
      <c r="S309" s="92">
        <f t="shared" si="35"/>
        <v>0</v>
      </c>
      <c r="T309">
        <f>IF(N309-'Atsipirkimo vertinimas'!$N$20&lt;0,0,1)</f>
        <v>1</v>
      </c>
      <c r="U309">
        <f>IF(N309-'Atsipirkimo vertinimas'!$N$20&gt;=0,0,1)</f>
        <v>0</v>
      </c>
      <c r="V309" s="92"/>
      <c r="W309" s="92"/>
      <c r="X309" s="88"/>
    </row>
    <row r="310" spans="3:24" x14ac:dyDescent="0.25">
      <c r="C310" s="88">
        <v>306</v>
      </c>
      <c r="D310" s="92">
        <f t="shared" si="30"/>
        <v>0.76854166666666313</v>
      </c>
      <c r="E310" s="92">
        <f>IF(H310=0,0,G310*('Atsipirkimo vertinimas'!$N$19)/12)</f>
        <v>-0.26201388888889238</v>
      </c>
      <c r="F310" s="92">
        <f>($G$4/('Atsipirkimo vertinimas'!$N$18*12-'Atsipirkimo vertinimas'!$N$20)*H310)</f>
        <v>0.97222222222222221</v>
      </c>
      <c r="G310" s="92">
        <f t="shared" si="33"/>
        <v>-64.166666666667524</v>
      </c>
      <c r="H310">
        <f>IF(C310-'Atsipirkimo vertinimas'!$N$20&lt;0,0,1)</f>
        <v>1</v>
      </c>
      <c r="I310" s="92"/>
      <c r="J310" s="92">
        <f t="shared" si="31"/>
        <v>0</v>
      </c>
      <c r="K310" s="92"/>
      <c r="L310" s="88"/>
      <c r="N310" s="88">
        <v>306</v>
      </c>
      <c r="O310" s="92">
        <f t="shared" si="32"/>
        <v>5.8333333333333355E-2</v>
      </c>
      <c r="P310" s="92">
        <f>IF($Z$64&lt;S310+(S310*(('Atsipirkimo vertinimas'!$N$19)/12)),($Z$64*T310)+(Q310*U310),S310+(S310*(('Atsipirkimo vertinimas'!$N$19)/12)))</f>
        <v>0</v>
      </c>
      <c r="Q310" s="92">
        <f>IF(T310=0,0,S310*('Atsipirkimo vertinimas'!$N$19)/12)</f>
        <v>0</v>
      </c>
      <c r="R310" s="92">
        <f t="shared" si="34"/>
        <v>0</v>
      </c>
      <c r="S310" s="92">
        <f t="shared" si="35"/>
        <v>0</v>
      </c>
      <c r="T310">
        <f>IF(N310-'Atsipirkimo vertinimas'!$N$20&lt;0,0,1)</f>
        <v>1</v>
      </c>
      <c r="U310">
        <f>IF(N310-'Atsipirkimo vertinimas'!$N$20&gt;=0,0,1)</f>
        <v>0</v>
      </c>
      <c r="V310" s="92"/>
      <c r="W310" s="92"/>
      <c r="X310" s="88"/>
    </row>
    <row r="311" spans="3:24" x14ac:dyDescent="0.25">
      <c r="C311" s="88">
        <v>307</v>
      </c>
      <c r="D311" s="92">
        <f t="shared" si="30"/>
        <v>0.7645717592592558</v>
      </c>
      <c r="E311" s="92">
        <f>IF(H311=0,0,G311*('Atsipirkimo vertinimas'!$N$19)/12)</f>
        <v>-0.26598379629629981</v>
      </c>
      <c r="F311" s="92">
        <f>($G$4/('Atsipirkimo vertinimas'!$N$18*12-'Atsipirkimo vertinimas'!$N$20)*H311)</f>
        <v>0.97222222222222221</v>
      </c>
      <c r="G311" s="92">
        <f t="shared" si="33"/>
        <v>-65.138888888889753</v>
      </c>
      <c r="H311">
        <f>IF(C311-'Atsipirkimo vertinimas'!$N$20&lt;0,0,1)</f>
        <v>1</v>
      </c>
      <c r="I311" s="92"/>
      <c r="J311" s="92">
        <f t="shared" si="31"/>
        <v>0</v>
      </c>
      <c r="K311" s="92"/>
      <c r="L311" s="88"/>
      <c r="N311" s="88">
        <v>307</v>
      </c>
      <c r="O311" s="92">
        <f t="shared" si="32"/>
        <v>5.8333333333333355E-2</v>
      </c>
      <c r="P311" s="92">
        <f>IF($Z$64&lt;S311+(S311*(('Atsipirkimo vertinimas'!$N$19)/12)),($Z$64*T311)+(Q311*U311),S311+(S311*(('Atsipirkimo vertinimas'!$N$19)/12)))</f>
        <v>0</v>
      </c>
      <c r="Q311" s="92">
        <f>IF(T311=0,0,S311*('Atsipirkimo vertinimas'!$N$19)/12)</f>
        <v>0</v>
      </c>
      <c r="R311" s="92">
        <f t="shared" si="34"/>
        <v>0</v>
      </c>
      <c r="S311" s="92">
        <f t="shared" si="35"/>
        <v>0</v>
      </c>
      <c r="T311">
        <f>IF(N311-'Atsipirkimo vertinimas'!$N$20&lt;0,0,1)</f>
        <v>1</v>
      </c>
      <c r="U311">
        <f>IF(N311-'Atsipirkimo vertinimas'!$N$20&gt;=0,0,1)</f>
        <v>0</v>
      </c>
      <c r="V311" s="92"/>
      <c r="W311" s="92"/>
      <c r="X311" s="88"/>
    </row>
    <row r="312" spans="3:24" x14ac:dyDescent="0.25">
      <c r="C312" s="88">
        <v>308</v>
      </c>
      <c r="D312" s="92">
        <f t="shared" si="30"/>
        <v>0.76060185185184825</v>
      </c>
      <c r="E312" s="92">
        <f>IF(H312=0,0,G312*('Atsipirkimo vertinimas'!$N$19)/12)</f>
        <v>-0.26995370370370725</v>
      </c>
      <c r="F312" s="92">
        <f>($G$4/('Atsipirkimo vertinimas'!$N$18*12-'Atsipirkimo vertinimas'!$N$20)*H312)</f>
        <v>0.97222222222222221</v>
      </c>
      <c r="G312" s="92">
        <f t="shared" si="33"/>
        <v>-66.111111111111981</v>
      </c>
      <c r="H312">
        <f>IF(C312-'Atsipirkimo vertinimas'!$N$20&lt;0,0,1)</f>
        <v>1</v>
      </c>
      <c r="I312" s="92"/>
      <c r="J312" s="92">
        <f t="shared" si="31"/>
        <v>0</v>
      </c>
      <c r="K312" s="92"/>
      <c r="L312" s="88"/>
      <c r="N312" s="88">
        <v>308</v>
      </c>
      <c r="O312" s="92">
        <f t="shared" si="32"/>
        <v>5.8333333333333355E-2</v>
      </c>
      <c r="P312" s="92">
        <f>IF($Z$64&lt;S312+(S312*(('Atsipirkimo vertinimas'!$N$19)/12)),($Z$64*T312)+(Q312*U312),S312+(S312*(('Atsipirkimo vertinimas'!$N$19)/12)))</f>
        <v>0</v>
      </c>
      <c r="Q312" s="92">
        <f>IF(T312=0,0,S312*('Atsipirkimo vertinimas'!$N$19)/12)</f>
        <v>0</v>
      </c>
      <c r="R312" s="92">
        <f t="shared" si="34"/>
        <v>0</v>
      </c>
      <c r="S312" s="92">
        <f t="shared" si="35"/>
        <v>0</v>
      </c>
      <c r="T312">
        <f>IF(N312-'Atsipirkimo vertinimas'!$N$20&lt;0,0,1)</f>
        <v>1</v>
      </c>
      <c r="U312">
        <f>IF(N312-'Atsipirkimo vertinimas'!$N$20&gt;=0,0,1)</f>
        <v>0</v>
      </c>
      <c r="V312" s="92"/>
      <c r="W312" s="92"/>
      <c r="X312" s="88"/>
    </row>
    <row r="313" spans="3:24" x14ac:dyDescent="0.25">
      <c r="C313" s="88">
        <v>309</v>
      </c>
      <c r="D313" s="92">
        <f t="shared" si="30"/>
        <v>0.75663194444444093</v>
      </c>
      <c r="E313" s="92">
        <f>IF(H313=0,0,G313*('Atsipirkimo vertinimas'!$N$19)/12)</f>
        <v>-0.27392361111111468</v>
      </c>
      <c r="F313" s="92">
        <f>($G$4/('Atsipirkimo vertinimas'!$N$18*12-'Atsipirkimo vertinimas'!$N$20)*H313)</f>
        <v>0.97222222222222221</v>
      </c>
      <c r="G313" s="92">
        <f t="shared" si="33"/>
        <v>-67.08333333333421</v>
      </c>
      <c r="H313">
        <f>IF(C313-'Atsipirkimo vertinimas'!$N$20&lt;0,0,1)</f>
        <v>1</v>
      </c>
      <c r="I313" s="92"/>
      <c r="J313" s="92">
        <f t="shared" si="31"/>
        <v>0</v>
      </c>
      <c r="K313" s="92"/>
      <c r="L313" s="88"/>
      <c r="N313" s="88">
        <v>309</v>
      </c>
      <c r="O313" s="92">
        <f t="shared" si="32"/>
        <v>5.8333333333333355E-2</v>
      </c>
      <c r="P313" s="92">
        <f>IF($Z$64&lt;S313+(S313*(('Atsipirkimo vertinimas'!$N$19)/12)),($Z$64*T313)+(Q313*U313),S313+(S313*(('Atsipirkimo vertinimas'!$N$19)/12)))</f>
        <v>0</v>
      </c>
      <c r="Q313" s="92">
        <f>IF(T313=0,0,S313*('Atsipirkimo vertinimas'!$N$19)/12)</f>
        <v>0</v>
      </c>
      <c r="R313" s="92">
        <f t="shared" si="34"/>
        <v>0</v>
      </c>
      <c r="S313" s="92">
        <f t="shared" si="35"/>
        <v>0</v>
      </c>
      <c r="T313">
        <f>IF(N313-'Atsipirkimo vertinimas'!$N$20&lt;0,0,1)</f>
        <v>1</v>
      </c>
      <c r="U313">
        <f>IF(N313-'Atsipirkimo vertinimas'!$N$20&gt;=0,0,1)</f>
        <v>0</v>
      </c>
      <c r="V313" s="92"/>
      <c r="W313" s="92"/>
      <c r="X313" s="88"/>
    </row>
    <row r="314" spans="3:24" x14ac:dyDescent="0.25">
      <c r="C314" s="88">
        <v>310</v>
      </c>
      <c r="D314" s="92">
        <f t="shared" si="30"/>
        <v>0.75266203703703338</v>
      </c>
      <c r="E314" s="92">
        <f>IF(H314=0,0,G314*('Atsipirkimo vertinimas'!$N$19)/12)</f>
        <v>-0.27789351851852212</v>
      </c>
      <c r="F314" s="92">
        <f>($G$4/('Atsipirkimo vertinimas'!$N$18*12-'Atsipirkimo vertinimas'!$N$20)*H314)</f>
        <v>0.97222222222222221</v>
      </c>
      <c r="G314" s="92">
        <f t="shared" si="33"/>
        <v>-68.055555555556438</v>
      </c>
      <c r="H314">
        <f>IF(C314-'Atsipirkimo vertinimas'!$N$20&lt;0,0,1)</f>
        <v>1</v>
      </c>
      <c r="I314" s="92"/>
      <c r="J314" s="92">
        <f t="shared" si="31"/>
        <v>0</v>
      </c>
      <c r="K314" s="92"/>
      <c r="L314" s="88"/>
      <c r="N314" s="88">
        <v>310</v>
      </c>
      <c r="O314" s="92">
        <f t="shared" si="32"/>
        <v>5.8333333333333355E-2</v>
      </c>
      <c r="P314" s="92">
        <f>IF($Z$64&lt;S314+(S314*(('Atsipirkimo vertinimas'!$N$19)/12)),($Z$64*T314)+(Q314*U314),S314+(S314*(('Atsipirkimo vertinimas'!$N$19)/12)))</f>
        <v>0</v>
      </c>
      <c r="Q314" s="92">
        <f>IF(T314=0,0,S314*('Atsipirkimo vertinimas'!$N$19)/12)</f>
        <v>0</v>
      </c>
      <c r="R314" s="92">
        <f t="shared" si="34"/>
        <v>0</v>
      </c>
      <c r="S314" s="92">
        <f t="shared" si="35"/>
        <v>0</v>
      </c>
      <c r="T314">
        <f>IF(N314-'Atsipirkimo vertinimas'!$N$20&lt;0,0,1)</f>
        <v>1</v>
      </c>
      <c r="U314">
        <f>IF(N314-'Atsipirkimo vertinimas'!$N$20&gt;=0,0,1)</f>
        <v>0</v>
      </c>
      <c r="V314" s="92"/>
      <c r="W314" s="92"/>
      <c r="X314" s="88"/>
    </row>
    <row r="315" spans="3:24" x14ac:dyDescent="0.25">
      <c r="C315" s="88">
        <v>311</v>
      </c>
      <c r="D315" s="92">
        <f t="shared" si="30"/>
        <v>0.74869212962962606</v>
      </c>
      <c r="E315" s="92">
        <f>IF(H315=0,0,G315*('Atsipirkimo vertinimas'!$N$19)/12)</f>
        <v>-0.28186342592592956</v>
      </c>
      <c r="F315" s="92">
        <f>($G$4/('Atsipirkimo vertinimas'!$N$18*12-'Atsipirkimo vertinimas'!$N$20)*H315)</f>
        <v>0.97222222222222221</v>
      </c>
      <c r="G315" s="92">
        <f t="shared" si="33"/>
        <v>-69.027777777778667</v>
      </c>
      <c r="H315">
        <f>IF(C315-'Atsipirkimo vertinimas'!$N$20&lt;0,0,1)</f>
        <v>1</v>
      </c>
      <c r="I315" s="92"/>
      <c r="J315" s="92">
        <f t="shared" si="31"/>
        <v>0</v>
      </c>
      <c r="K315" s="92"/>
      <c r="L315" s="91">
        <f>IF('Atsipirkimo vertinimas'!$N$18*12&gt;Grafikas!C315,SUM(D304:D315),0)</f>
        <v>0</v>
      </c>
      <c r="N315" s="88">
        <v>311</v>
      </c>
      <c r="O315" s="92">
        <f t="shared" si="32"/>
        <v>5.8333333333333355E-2</v>
      </c>
      <c r="P315" s="92">
        <f>IF($Z$64&lt;S315+(S315*(('Atsipirkimo vertinimas'!$N$19)/12)),($Z$64*T315)+(Q315*U315),S315+(S315*(('Atsipirkimo vertinimas'!$N$19)/12)))</f>
        <v>0</v>
      </c>
      <c r="Q315" s="92">
        <f>IF(T315=0,0,S315*('Atsipirkimo vertinimas'!$N$19)/12)</f>
        <v>0</v>
      </c>
      <c r="R315" s="92">
        <f t="shared" si="34"/>
        <v>0</v>
      </c>
      <c r="S315" s="92">
        <f t="shared" si="35"/>
        <v>0</v>
      </c>
      <c r="T315">
        <f>IF(N315-'Atsipirkimo vertinimas'!$N$20&lt;0,0,1)</f>
        <v>1</v>
      </c>
      <c r="U315">
        <f>IF(N315-'Atsipirkimo vertinimas'!$N$20&gt;=0,0,1)</f>
        <v>0</v>
      </c>
      <c r="V315" s="92"/>
      <c r="W315" s="92"/>
      <c r="X315" s="91">
        <f>IF('Atsipirkimo vertinimas'!$N$18*12&gt;Grafikas!C315,SUM(O304:O315),0)</f>
        <v>0</v>
      </c>
    </row>
    <row r="316" spans="3:24" x14ac:dyDescent="0.25">
      <c r="C316" s="88">
        <v>312</v>
      </c>
      <c r="D316" s="92">
        <f t="shared" si="30"/>
        <v>0.74472222222221851</v>
      </c>
      <c r="E316" s="92">
        <f>IF(H316=0,0,G316*('Atsipirkimo vertinimas'!$N$19)/12)</f>
        <v>-0.28583333333333699</v>
      </c>
      <c r="F316" s="92">
        <f>($G$4/('Atsipirkimo vertinimas'!$N$18*12-'Atsipirkimo vertinimas'!$N$20)*H316)</f>
        <v>0.97222222222222221</v>
      </c>
      <c r="G316" s="92">
        <f t="shared" si="33"/>
        <v>-70.000000000000895</v>
      </c>
      <c r="H316">
        <f>IF(C316-'Atsipirkimo vertinimas'!$N$20&lt;0,0,1)</f>
        <v>1</v>
      </c>
      <c r="I316" s="92"/>
      <c r="J316" s="92">
        <f t="shared" si="31"/>
        <v>0</v>
      </c>
      <c r="K316" s="92"/>
      <c r="L316" s="88"/>
      <c r="N316" s="88">
        <v>312</v>
      </c>
      <c r="O316" s="92">
        <f t="shared" si="32"/>
        <v>5.8333333333333355E-2</v>
      </c>
      <c r="P316" s="92">
        <f>IF($Z$64&lt;S316+(S316*(('Atsipirkimo vertinimas'!$N$19)/12)),($Z$64*T316)+(Q316*U316),S316+(S316*(('Atsipirkimo vertinimas'!$N$19)/12)))</f>
        <v>0</v>
      </c>
      <c r="Q316" s="92">
        <f>IF(T316=0,0,S316*('Atsipirkimo vertinimas'!$N$19)/12)</f>
        <v>0</v>
      </c>
      <c r="R316" s="92">
        <f t="shared" si="34"/>
        <v>0</v>
      </c>
      <c r="S316" s="92">
        <f t="shared" si="35"/>
        <v>0</v>
      </c>
      <c r="T316">
        <f>IF(N316-'Atsipirkimo vertinimas'!$N$20&lt;0,0,1)</f>
        <v>1</v>
      </c>
      <c r="U316">
        <f>IF(N316-'Atsipirkimo vertinimas'!$N$20&gt;=0,0,1)</f>
        <v>0</v>
      </c>
      <c r="V316" s="92"/>
      <c r="W316" s="92"/>
      <c r="X316" s="88"/>
    </row>
    <row r="317" spans="3:24" x14ac:dyDescent="0.25">
      <c r="C317" s="88">
        <v>313</v>
      </c>
      <c r="D317" s="92">
        <f t="shared" si="30"/>
        <v>0.74075231481481119</v>
      </c>
      <c r="E317" s="92">
        <f>IF(H317=0,0,G317*('Atsipirkimo vertinimas'!$N$19)/12)</f>
        <v>-0.28980324074074443</v>
      </c>
      <c r="F317" s="92">
        <f>($G$4/('Atsipirkimo vertinimas'!$N$18*12-'Atsipirkimo vertinimas'!$N$20)*H317)</f>
        <v>0.97222222222222221</v>
      </c>
      <c r="G317" s="92">
        <f t="shared" si="33"/>
        <v>-70.972222222223124</v>
      </c>
      <c r="H317">
        <f>IF(C317-'Atsipirkimo vertinimas'!$N$20&lt;0,0,1)</f>
        <v>1</v>
      </c>
      <c r="I317" s="92"/>
      <c r="J317" s="92">
        <f t="shared" si="31"/>
        <v>0</v>
      </c>
      <c r="K317" s="92"/>
      <c r="L317" s="88"/>
      <c r="N317" s="88">
        <v>313</v>
      </c>
      <c r="O317" s="92">
        <f t="shared" si="32"/>
        <v>5.8333333333333355E-2</v>
      </c>
      <c r="P317" s="92">
        <f>IF($Z$64&lt;S317+(S317*(('Atsipirkimo vertinimas'!$N$19)/12)),($Z$64*T317)+(Q317*U317),S317+(S317*(('Atsipirkimo vertinimas'!$N$19)/12)))</f>
        <v>0</v>
      </c>
      <c r="Q317" s="92">
        <f>IF(T317=0,0,S317*('Atsipirkimo vertinimas'!$N$19)/12)</f>
        <v>0</v>
      </c>
      <c r="R317" s="92">
        <f t="shared" si="34"/>
        <v>0</v>
      </c>
      <c r="S317" s="92">
        <f t="shared" si="35"/>
        <v>0</v>
      </c>
      <c r="T317">
        <f>IF(N317-'Atsipirkimo vertinimas'!$N$20&lt;0,0,1)</f>
        <v>1</v>
      </c>
      <c r="U317">
        <f>IF(N317-'Atsipirkimo vertinimas'!$N$20&gt;=0,0,1)</f>
        <v>0</v>
      </c>
      <c r="V317" s="92"/>
      <c r="W317" s="92"/>
      <c r="X317" s="88"/>
    </row>
    <row r="318" spans="3:24" x14ac:dyDescent="0.25">
      <c r="C318" s="88">
        <v>314</v>
      </c>
      <c r="D318" s="92">
        <f t="shared" si="30"/>
        <v>0.73678240740740364</v>
      </c>
      <c r="E318" s="92">
        <f>IF(H318=0,0,G318*('Atsipirkimo vertinimas'!$N$19)/12)</f>
        <v>-0.29377314814815186</v>
      </c>
      <c r="F318" s="92">
        <f>($G$4/('Atsipirkimo vertinimas'!$N$18*12-'Atsipirkimo vertinimas'!$N$20)*H318)</f>
        <v>0.97222222222222221</v>
      </c>
      <c r="G318" s="92">
        <f t="shared" si="33"/>
        <v>-71.944444444445352</v>
      </c>
      <c r="H318">
        <f>IF(C318-'Atsipirkimo vertinimas'!$N$20&lt;0,0,1)</f>
        <v>1</v>
      </c>
      <c r="I318" s="92"/>
      <c r="J318" s="92">
        <f t="shared" si="31"/>
        <v>0</v>
      </c>
      <c r="K318" s="92"/>
      <c r="L318" s="88"/>
      <c r="N318" s="88">
        <v>314</v>
      </c>
      <c r="O318" s="92">
        <f t="shared" si="32"/>
        <v>5.8333333333333355E-2</v>
      </c>
      <c r="P318" s="92">
        <f>IF($Z$64&lt;S318+(S318*(('Atsipirkimo vertinimas'!$N$19)/12)),($Z$64*T318)+(Q318*U318),S318+(S318*(('Atsipirkimo vertinimas'!$N$19)/12)))</f>
        <v>0</v>
      </c>
      <c r="Q318" s="92">
        <f>IF(T318=0,0,S318*('Atsipirkimo vertinimas'!$N$19)/12)</f>
        <v>0</v>
      </c>
      <c r="R318" s="92">
        <f t="shared" si="34"/>
        <v>0</v>
      </c>
      <c r="S318" s="92">
        <f t="shared" si="35"/>
        <v>0</v>
      </c>
      <c r="T318">
        <f>IF(N318-'Atsipirkimo vertinimas'!$N$20&lt;0,0,1)</f>
        <v>1</v>
      </c>
      <c r="U318">
        <f>IF(N318-'Atsipirkimo vertinimas'!$N$20&gt;=0,0,1)</f>
        <v>0</v>
      </c>
      <c r="V318" s="92"/>
      <c r="W318" s="92"/>
      <c r="X318" s="88"/>
    </row>
    <row r="319" spans="3:24" x14ac:dyDescent="0.25">
      <c r="C319" s="88">
        <v>315</v>
      </c>
      <c r="D319" s="92">
        <f t="shared" si="30"/>
        <v>0.73281249999999631</v>
      </c>
      <c r="E319" s="92">
        <f>IF(H319=0,0,G319*('Atsipirkimo vertinimas'!$N$19)/12)</f>
        <v>-0.2977430555555593</v>
      </c>
      <c r="F319" s="92">
        <f>($G$4/('Atsipirkimo vertinimas'!$N$18*12-'Atsipirkimo vertinimas'!$N$20)*H319)</f>
        <v>0.97222222222222221</v>
      </c>
      <c r="G319" s="92">
        <f t="shared" si="33"/>
        <v>-72.916666666667581</v>
      </c>
      <c r="H319">
        <f>IF(C319-'Atsipirkimo vertinimas'!$N$20&lt;0,0,1)</f>
        <v>1</v>
      </c>
      <c r="I319" s="92"/>
      <c r="J319" s="92">
        <f t="shared" si="31"/>
        <v>0</v>
      </c>
      <c r="K319" s="92"/>
      <c r="L319" s="88"/>
      <c r="N319" s="88">
        <v>315</v>
      </c>
      <c r="O319" s="92">
        <f t="shared" si="32"/>
        <v>5.8333333333333355E-2</v>
      </c>
      <c r="P319" s="92">
        <f>IF($Z$64&lt;S319+(S319*(('Atsipirkimo vertinimas'!$N$19)/12)),($Z$64*T319)+(Q319*U319),S319+(S319*(('Atsipirkimo vertinimas'!$N$19)/12)))</f>
        <v>0</v>
      </c>
      <c r="Q319" s="92">
        <f>IF(T319=0,0,S319*('Atsipirkimo vertinimas'!$N$19)/12)</f>
        <v>0</v>
      </c>
      <c r="R319" s="92">
        <f t="shared" si="34"/>
        <v>0</v>
      </c>
      <c r="S319" s="92">
        <f t="shared" si="35"/>
        <v>0</v>
      </c>
      <c r="T319">
        <f>IF(N319-'Atsipirkimo vertinimas'!$N$20&lt;0,0,1)</f>
        <v>1</v>
      </c>
      <c r="U319">
        <f>IF(N319-'Atsipirkimo vertinimas'!$N$20&gt;=0,0,1)</f>
        <v>0</v>
      </c>
      <c r="V319" s="92"/>
      <c r="W319" s="92"/>
      <c r="X319" s="88"/>
    </row>
    <row r="320" spans="3:24" x14ac:dyDescent="0.25">
      <c r="C320" s="88">
        <v>316</v>
      </c>
      <c r="D320" s="92">
        <f t="shared" si="30"/>
        <v>0.72884259259258877</v>
      </c>
      <c r="E320" s="92">
        <f>IF(H320=0,0,G320*('Atsipirkimo vertinimas'!$N$19)/12)</f>
        <v>-0.30171296296296674</v>
      </c>
      <c r="F320" s="92">
        <f>($G$4/('Atsipirkimo vertinimas'!$N$18*12-'Atsipirkimo vertinimas'!$N$20)*H320)</f>
        <v>0.97222222222222221</v>
      </c>
      <c r="G320" s="92">
        <f t="shared" si="33"/>
        <v>-73.888888888889809</v>
      </c>
      <c r="H320">
        <f>IF(C320-'Atsipirkimo vertinimas'!$N$20&lt;0,0,1)</f>
        <v>1</v>
      </c>
      <c r="I320" s="92"/>
      <c r="J320" s="92">
        <f t="shared" si="31"/>
        <v>0</v>
      </c>
      <c r="K320" s="92"/>
      <c r="L320" s="88"/>
      <c r="N320" s="88">
        <v>316</v>
      </c>
      <c r="O320" s="92">
        <f t="shared" si="32"/>
        <v>5.8333333333333355E-2</v>
      </c>
      <c r="P320" s="92">
        <f>IF($Z$64&lt;S320+(S320*(('Atsipirkimo vertinimas'!$N$19)/12)),($Z$64*T320)+(Q320*U320),S320+(S320*(('Atsipirkimo vertinimas'!$N$19)/12)))</f>
        <v>0</v>
      </c>
      <c r="Q320" s="92">
        <f>IF(T320=0,0,S320*('Atsipirkimo vertinimas'!$N$19)/12)</f>
        <v>0</v>
      </c>
      <c r="R320" s="92">
        <f t="shared" si="34"/>
        <v>0</v>
      </c>
      <c r="S320" s="92">
        <f t="shared" si="35"/>
        <v>0</v>
      </c>
      <c r="T320">
        <f>IF(N320-'Atsipirkimo vertinimas'!$N$20&lt;0,0,1)</f>
        <v>1</v>
      </c>
      <c r="U320">
        <f>IF(N320-'Atsipirkimo vertinimas'!$N$20&gt;=0,0,1)</f>
        <v>0</v>
      </c>
      <c r="V320" s="92"/>
      <c r="W320" s="92"/>
      <c r="X320" s="88"/>
    </row>
    <row r="321" spans="3:24" x14ac:dyDescent="0.25">
      <c r="C321" s="88">
        <v>317</v>
      </c>
      <c r="D321" s="92">
        <f t="shared" si="30"/>
        <v>0.72487268518518144</v>
      </c>
      <c r="E321" s="92">
        <f>IF(H321=0,0,G321*('Atsipirkimo vertinimas'!$N$19)/12)</f>
        <v>-0.30568287037037417</v>
      </c>
      <c r="F321" s="92">
        <f>($G$4/('Atsipirkimo vertinimas'!$N$18*12-'Atsipirkimo vertinimas'!$N$20)*H321)</f>
        <v>0.97222222222222221</v>
      </c>
      <c r="G321" s="92">
        <f t="shared" si="33"/>
        <v>-74.861111111112038</v>
      </c>
      <c r="H321">
        <f>IF(C321-'Atsipirkimo vertinimas'!$N$20&lt;0,0,1)</f>
        <v>1</v>
      </c>
      <c r="I321" s="92"/>
      <c r="J321" s="92">
        <f t="shared" si="31"/>
        <v>0</v>
      </c>
      <c r="K321" s="92"/>
      <c r="L321" s="88"/>
      <c r="N321" s="88">
        <v>317</v>
      </c>
      <c r="O321" s="92">
        <f t="shared" si="32"/>
        <v>5.8333333333333355E-2</v>
      </c>
      <c r="P321" s="92">
        <f>IF($Z$64&lt;S321+(S321*(('Atsipirkimo vertinimas'!$N$19)/12)),($Z$64*T321)+(Q321*U321),S321+(S321*(('Atsipirkimo vertinimas'!$N$19)/12)))</f>
        <v>0</v>
      </c>
      <c r="Q321" s="92">
        <f>IF(T321=0,0,S321*('Atsipirkimo vertinimas'!$N$19)/12)</f>
        <v>0</v>
      </c>
      <c r="R321" s="92">
        <f t="shared" si="34"/>
        <v>0</v>
      </c>
      <c r="S321" s="92">
        <f t="shared" si="35"/>
        <v>0</v>
      </c>
      <c r="T321">
        <f>IF(N321-'Atsipirkimo vertinimas'!$N$20&lt;0,0,1)</f>
        <v>1</v>
      </c>
      <c r="U321">
        <f>IF(N321-'Atsipirkimo vertinimas'!$N$20&gt;=0,0,1)</f>
        <v>0</v>
      </c>
      <c r="V321" s="92"/>
      <c r="W321" s="92"/>
      <c r="X321" s="88"/>
    </row>
    <row r="322" spans="3:24" x14ac:dyDescent="0.25">
      <c r="C322" s="88">
        <v>318</v>
      </c>
      <c r="D322" s="92">
        <f t="shared" si="30"/>
        <v>0.7209027777777739</v>
      </c>
      <c r="E322" s="92">
        <f>IF(H322=0,0,G322*('Atsipirkimo vertinimas'!$N$19)/12)</f>
        <v>-0.30965277777778161</v>
      </c>
      <c r="F322" s="92">
        <f>($G$4/('Atsipirkimo vertinimas'!$N$18*12-'Atsipirkimo vertinimas'!$N$20)*H322)</f>
        <v>0.97222222222222221</v>
      </c>
      <c r="G322" s="92">
        <f t="shared" si="33"/>
        <v>-75.833333333334267</v>
      </c>
      <c r="H322">
        <f>IF(C322-'Atsipirkimo vertinimas'!$N$20&lt;0,0,1)</f>
        <v>1</v>
      </c>
      <c r="I322" s="92"/>
      <c r="J322" s="92">
        <f t="shared" si="31"/>
        <v>0</v>
      </c>
      <c r="K322" s="92"/>
      <c r="L322" s="88"/>
      <c r="N322" s="88">
        <v>318</v>
      </c>
      <c r="O322" s="92">
        <f t="shared" si="32"/>
        <v>5.8333333333333355E-2</v>
      </c>
      <c r="P322" s="92">
        <f>IF($Z$64&lt;S322+(S322*(('Atsipirkimo vertinimas'!$N$19)/12)),($Z$64*T322)+(Q322*U322),S322+(S322*(('Atsipirkimo vertinimas'!$N$19)/12)))</f>
        <v>0</v>
      </c>
      <c r="Q322" s="92">
        <f>IF(T322=0,0,S322*('Atsipirkimo vertinimas'!$N$19)/12)</f>
        <v>0</v>
      </c>
      <c r="R322" s="92">
        <f t="shared" si="34"/>
        <v>0</v>
      </c>
      <c r="S322" s="92">
        <f t="shared" si="35"/>
        <v>0</v>
      </c>
      <c r="T322">
        <f>IF(N322-'Atsipirkimo vertinimas'!$N$20&lt;0,0,1)</f>
        <v>1</v>
      </c>
      <c r="U322">
        <f>IF(N322-'Atsipirkimo vertinimas'!$N$20&gt;=0,0,1)</f>
        <v>0</v>
      </c>
      <c r="V322" s="92"/>
      <c r="W322" s="92"/>
      <c r="X322" s="88"/>
    </row>
    <row r="323" spans="3:24" x14ac:dyDescent="0.25">
      <c r="C323" s="88">
        <v>319</v>
      </c>
      <c r="D323" s="92">
        <f t="shared" si="30"/>
        <v>0.71693287037036657</v>
      </c>
      <c r="E323" s="92">
        <f>IF(H323=0,0,G323*('Atsipirkimo vertinimas'!$N$19)/12)</f>
        <v>-0.31362268518518904</v>
      </c>
      <c r="F323" s="92">
        <f>($G$4/('Atsipirkimo vertinimas'!$N$18*12-'Atsipirkimo vertinimas'!$N$20)*H323)</f>
        <v>0.97222222222222221</v>
      </c>
      <c r="G323" s="92">
        <f t="shared" si="33"/>
        <v>-76.805555555556495</v>
      </c>
      <c r="H323">
        <f>IF(C323-'Atsipirkimo vertinimas'!$N$20&lt;0,0,1)</f>
        <v>1</v>
      </c>
      <c r="I323" s="92"/>
      <c r="J323" s="92">
        <f t="shared" si="31"/>
        <v>0</v>
      </c>
      <c r="K323" s="92"/>
      <c r="L323" s="88"/>
      <c r="N323" s="88">
        <v>319</v>
      </c>
      <c r="O323" s="92">
        <f t="shared" si="32"/>
        <v>5.8333333333333355E-2</v>
      </c>
      <c r="P323" s="92">
        <f>IF($Z$64&lt;S323+(S323*(('Atsipirkimo vertinimas'!$N$19)/12)),($Z$64*T323)+(Q323*U323),S323+(S323*(('Atsipirkimo vertinimas'!$N$19)/12)))</f>
        <v>0</v>
      </c>
      <c r="Q323" s="92">
        <f>IF(T323=0,0,S323*('Atsipirkimo vertinimas'!$N$19)/12)</f>
        <v>0</v>
      </c>
      <c r="R323" s="92">
        <f t="shared" si="34"/>
        <v>0</v>
      </c>
      <c r="S323" s="92">
        <f t="shared" si="35"/>
        <v>0</v>
      </c>
      <c r="T323">
        <f>IF(N323-'Atsipirkimo vertinimas'!$N$20&lt;0,0,1)</f>
        <v>1</v>
      </c>
      <c r="U323">
        <f>IF(N323-'Atsipirkimo vertinimas'!$N$20&gt;=0,0,1)</f>
        <v>0</v>
      </c>
      <c r="V323" s="92"/>
      <c r="W323" s="92"/>
      <c r="X323" s="88"/>
    </row>
    <row r="324" spans="3:24" x14ac:dyDescent="0.25">
      <c r="C324" s="88">
        <v>320</v>
      </c>
      <c r="D324" s="92">
        <f t="shared" si="30"/>
        <v>0.71296296296295902</v>
      </c>
      <c r="E324" s="92">
        <f>IF(H324=0,0,G324*('Atsipirkimo vertinimas'!$N$19)/12)</f>
        <v>-0.31759259259259648</v>
      </c>
      <c r="F324" s="92">
        <f>($G$4/('Atsipirkimo vertinimas'!$N$18*12-'Atsipirkimo vertinimas'!$N$20)*H324)</f>
        <v>0.97222222222222221</v>
      </c>
      <c r="G324" s="92">
        <f t="shared" si="33"/>
        <v>-77.777777777778724</v>
      </c>
      <c r="H324">
        <f>IF(C324-'Atsipirkimo vertinimas'!$N$20&lt;0,0,1)</f>
        <v>1</v>
      </c>
      <c r="I324" s="92"/>
      <c r="J324" s="92">
        <f t="shared" si="31"/>
        <v>0</v>
      </c>
      <c r="K324" s="92"/>
      <c r="L324" s="88"/>
      <c r="N324" s="88">
        <v>320</v>
      </c>
      <c r="O324" s="92">
        <f t="shared" si="32"/>
        <v>5.8333333333333355E-2</v>
      </c>
      <c r="P324" s="92">
        <f>IF($Z$64&lt;S324+(S324*(('Atsipirkimo vertinimas'!$N$19)/12)),($Z$64*T324)+(Q324*U324),S324+(S324*(('Atsipirkimo vertinimas'!$N$19)/12)))</f>
        <v>0</v>
      </c>
      <c r="Q324" s="92">
        <f>IF(T324=0,0,S324*('Atsipirkimo vertinimas'!$N$19)/12)</f>
        <v>0</v>
      </c>
      <c r="R324" s="92">
        <f t="shared" si="34"/>
        <v>0</v>
      </c>
      <c r="S324" s="92">
        <f t="shared" si="35"/>
        <v>0</v>
      </c>
      <c r="T324">
        <f>IF(N324-'Atsipirkimo vertinimas'!$N$20&lt;0,0,1)</f>
        <v>1</v>
      </c>
      <c r="U324">
        <f>IF(N324-'Atsipirkimo vertinimas'!$N$20&gt;=0,0,1)</f>
        <v>0</v>
      </c>
      <c r="V324" s="92"/>
      <c r="W324" s="92"/>
      <c r="X324" s="88"/>
    </row>
    <row r="325" spans="3:24" x14ac:dyDescent="0.25">
      <c r="C325" s="88">
        <v>321</v>
      </c>
      <c r="D325" s="92">
        <f t="shared" ref="D325:D388" si="36">IF(H325=0,E325+F325,E325+F325+$K$4)</f>
        <v>0.7089930555555517</v>
      </c>
      <c r="E325" s="92">
        <f>IF(H325=0,0,G325*('Atsipirkimo vertinimas'!$N$19)/12)</f>
        <v>-0.32156250000000391</v>
      </c>
      <c r="F325" s="92">
        <f>($G$4/('Atsipirkimo vertinimas'!$N$18*12-'Atsipirkimo vertinimas'!$N$20)*H325)</f>
        <v>0.97222222222222221</v>
      </c>
      <c r="G325" s="92">
        <f t="shared" si="33"/>
        <v>-78.750000000000952</v>
      </c>
      <c r="H325">
        <f>IF(C325-'Atsipirkimo vertinimas'!$N$20&lt;0,0,1)</f>
        <v>1</v>
      </c>
      <c r="I325" s="92"/>
      <c r="J325" s="92">
        <f t="shared" ref="J325:J388" si="37">IF(H325=0,G325*(0.03)/12,0)</f>
        <v>0</v>
      </c>
      <c r="K325" s="92"/>
      <c r="L325" s="88"/>
      <c r="N325" s="88">
        <v>321</v>
      </c>
      <c r="O325" s="92">
        <f t="shared" ref="O325:O388" si="38">IF(T325=0,0,($X$4+P325))</f>
        <v>5.8333333333333355E-2</v>
      </c>
      <c r="P325" s="92">
        <f>IF($Z$64&lt;S325+(S325*(('Atsipirkimo vertinimas'!$N$19)/12)),($Z$64*T325)+(Q325*U325),S325+(S325*(('Atsipirkimo vertinimas'!$N$19)/12)))</f>
        <v>0</v>
      </c>
      <c r="Q325" s="92">
        <f>IF(T325=0,0,S325*('Atsipirkimo vertinimas'!$N$19)/12)</f>
        <v>0</v>
      </c>
      <c r="R325" s="92">
        <f t="shared" si="34"/>
        <v>0</v>
      </c>
      <c r="S325" s="92">
        <f t="shared" si="35"/>
        <v>0</v>
      </c>
      <c r="T325">
        <f>IF(N325-'Atsipirkimo vertinimas'!$N$20&lt;0,0,1)</f>
        <v>1</v>
      </c>
      <c r="U325">
        <f>IF(N325-'Atsipirkimo vertinimas'!$N$20&gt;=0,0,1)</f>
        <v>0</v>
      </c>
      <c r="V325" s="92"/>
      <c r="W325" s="92"/>
      <c r="X325" s="88"/>
    </row>
    <row r="326" spans="3:24" x14ac:dyDescent="0.25">
      <c r="C326" s="88">
        <v>322</v>
      </c>
      <c r="D326" s="92">
        <f t="shared" si="36"/>
        <v>0.70502314814814415</v>
      </c>
      <c r="E326" s="92">
        <f>IF(H326=0,0,G326*('Atsipirkimo vertinimas'!$N$19)/12)</f>
        <v>-0.32553240740741135</v>
      </c>
      <c r="F326" s="92">
        <f>($G$4/('Atsipirkimo vertinimas'!$N$18*12-'Atsipirkimo vertinimas'!$N$20)*H326)</f>
        <v>0.97222222222222221</v>
      </c>
      <c r="G326" s="92">
        <f t="shared" ref="G326:G389" si="39">(G325-F325)</f>
        <v>-79.722222222223181</v>
      </c>
      <c r="H326">
        <f>IF(C326-'Atsipirkimo vertinimas'!$N$20&lt;0,0,1)</f>
        <v>1</v>
      </c>
      <c r="I326" s="92"/>
      <c r="J326" s="92">
        <f t="shared" si="37"/>
        <v>0</v>
      </c>
      <c r="K326" s="92"/>
      <c r="L326" s="88"/>
      <c r="N326" s="88">
        <v>322</v>
      </c>
      <c r="O326" s="92">
        <f t="shared" si="38"/>
        <v>5.8333333333333355E-2</v>
      </c>
      <c r="P326" s="92">
        <f>IF($Z$64&lt;S326+(S326*(('Atsipirkimo vertinimas'!$N$19)/12)),($Z$64*T326)+(Q326*U326),S326+(S326*(('Atsipirkimo vertinimas'!$N$19)/12)))</f>
        <v>0</v>
      </c>
      <c r="Q326" s="92">
        <f>IF(T326=0,0,S326*('Atsipirkimo vertinimas'!$N$19)/12)</f>
        <v>0</v>
      </c>
      <c r="R326" s="92">
        <f t="shared" ref="R326:R389" si="40">(P326-Q326)*T326</f>
        <v>0</v>
      </c>
      <c r="S326" s="92">
        <f t="shared" ref="S326:S389" si="41">(S325-R325)</f>
        <v>0</v>
      </c>
      <c r="T326">
        <f>IF(N326-'Atsipirkimo vertinimas'!$N$20&lt;0,0,1)</f>
        <v>1</v>
      </c>
      <c r="U326">
        <f>IF(N326-'Atsipirkimo vertinimas'!$N$20&gt;=0,0,1)</f>
        <v>0</v>
      </c>
      <c r="V326" s="92"/>
      <c r="W326" s="92"/>
      <c r="X326" s="88"/>
    </row>
    <row r="327" spans="3:24" x14ac:dyDescent="0.25">
      <c r="C327" s="88">
        <v>323</v>
      </c>
      <c r="D327" s="92">
        <f t="shared" si="36"/>
        <v>0.70105324074073683</v>
      </c>
      <c r="E327" s="92">
        <f>IF(H327=0,0,G327*('Atsipirkimo vertinimas'!$N$19)/12)</f>
        <v>-0.32950231481481879</v>
      </c>
      <c r="F327" s="92">
        <f>($G$4/('Atsipirkimo vertinimas'!$N$18*12-'Atsipirkimo vertinimas'!$N$20)*H327)</f>
        <v>0.97222222222222221</v>
      </c>
      <c r="G327" s="92">
        <f t="shared" si="39"/>
        <v>-80.694444444445409</v>
      </c>
      <c r="H327">
        <f>IF(C327-'Atsipirkimo vertinimas'!$N$20&lt;0,0,1)</f>
        <v>1</v>
      </c>
      <c r="I327" s="92"/>
      <c r="J327" s="92">
        <f t="shared" si="37"/>
        <v>0</v>
      </c>
      <c r="K327" s="92"/>
      <c r="L327" s="91">
        <f>IF('Atsipirkimo vertinimas'!$N$18*12&gt;Grafikas!C327,SUM(D316:D327),0)</f>
        <v>0</v>
      </c>
      <c r="N327" s="88">
        <v>323</v>
      </c>
      <c r="O327" s="92">
        <f t="shared" si="38"/>
        <v>5.8333333333333355E-2</v>
      </c>
      <c r="P327" s="92">
        <f>IF($Z$64&lt;S327+(S327*(('Atsipirkimo vertinimas'!$N$19)/12)),($Z$64*T327)+(Q327*U327),S327+(S327*(('Atsipirkimo vertinimas'!$N$19)/12)))</f>
        <v>0</v>
      </c>
      <c r="Q327" s="92">
        <f>IF(T327=0,0,S327*('Atsipirkimo vertinimas'!$N$19)/12)</f>
        <v>0</v>
      </c>
      <c r="R327" s="92">
        <f t="shared" si="40"/>
        <v>0</v>
      </c>
      <c r="S327" s="92">
        <f t="shared" si="41"/>
        <v>0</v>
      </c>
      <c r="T327">
        <f>IF(N327-'Atsipirkimo vertinimas'!$N$20&lt;0,0,1)</f>
        <v>1</v>
      </c>
      <c r="U327">
        <f>IF(N327-'Atsipirkimo vertinimas'!$N$20&gt;=0,0,1)</f>
        <v>0</v>
      </c>
      <c r="V327" s="92"/>
      <c r="W327" s="92"/>
      <c r="X327" s="91">
        <f>IF('Atsipirkimo vertinimas'!$N$18*12&gt;Grafikas!C327,SUM(O316:O327),0)</f>
        <v>0</v>
      </c>
    </row>
    <row r="328" spans="3:24" x14ac:dyDescent="0.25">
      <c r="C328" s="88">
        <v>324</v>
      </c>
      <c r="D328" s="92">
        <f t="shared" si="36"/>
        <v>0.69708333333332939</v>
      </c>
      <c r="E328" s="92">
        <f>IF(H328=0,0,G328*('Atsipirkimo vertinimas'!$N$19)/12)</f>
        <v>-0.33347222222222617</v>
      </c>
      <c r="F328" s="92">
        <f>($G$4/('Atsipirkimo vertinimas'!$N$18*12-'Atsipirkimo vertinimas'!$N$20)*H328)</f>
        <v>0.97222222222222221</v>
      </c>
      <c r="G328" s="92">
        <f t="shared" si="39"/>
        <v>-81.666666666667638</v>
      </c>
      <c r="H328">
        <f>IF(C328-'Atsipirkimo vertinimas'!$N$20&lt;0,0,1)</f>
        <v>1</v>
      </c>
      <c r="I328" s="92"/>
      <c r="J328" s="92">
        <f t="shared" si="37"/>
        <v>0</v>
      </c>
      <c r="K328" s="92"/>
      <c r="L328" s="88"/>
      <c r="N328" s="88">
        <v>324</v>
      </c>
      <c r="O328" s="92">
        <f t="shared" si="38"/>
        <v>5.8333333333333355E-2</v>
      </c>
      <c r="P328" s="92">
        <f>IF($Z$64&lt;S328+(S328*(('Atsipirkimo vertinimas'!$N$19)/12)),($Z$64*T328)+(Q328*U328),S328+(S328*(('Atsipirkimo vertinimas'!$N$19)/12)))</f>
        <v>0</v>
      </c>
      <c r="Q328" s="92">
        <f>IF(T328=0,0,S328*('Atsipirkimo vertinimas'!$N$19)/12)</f>
        <v>0</v>
      </c>
      <c r="R328" s="92">
        <f t="shared" si="40"/>
        <v>0</v>
      </c>
      <c r="S328" s="92">
        <f t="shared" si="41"/>
        <v>0</v>
      </c>
      <c r="T328">
        <f>IF(N328-'Atsipirkimo vertinimas'!$N$20&lt;0,0,1)</f>
        <v>1</v>
      </c>
      <c r="U328">
        <f>IF(N328-'Atsipirkimo vertinimas'!$N$20&gt;=0,0,1)</f>
        <v>0</v>
      </c>
      <c r="V328" s="92"/>
      <c r="W328" s="92"/>
      <c r="X328" s="88"/>
    </row>
    <row r="329" spans="3:24" x14ac:dyDescent="0.25">
      <c r="C329" s="88">
        <v>325</v>
      </c>
      <c r="D329" s="92">
        <f t="shared" si="36"/>
        <v>0.69311342592592196</v>
      </c>
      <c r="E329" s="92">
        <f>IF(H329=0,0,G329*('Atsipirkimo vertinimas'!$N$19)/12)</f>
        <v>-0.33744212962963366</v>
      </c>
      <c r="F329" s="92">
        <f>($G$4/('Atsipirkimo vertinimas'!$N$18*12-'Atsipirkimo vertinimas'!$N$20)*H329)</f>
        <v>0.97222222222222221</v>
      </c>
      <c r="G329" s="92">
        <f t="shared" si="39"/>
        <v>-82.638888888889866</v>
      </c>
      <c r="H329">
        <f>IF(C329-'Atsipirkimo vertinimas'!$N$20&lt;0,0,1)</f>
        <v>1</v>
      </c>
      <c r="I329" s="92"/>
      <c r="J329" s="92">
        <f t="shared" si="37"/>
        <v>0</v>
      </c>
      <c r="K329" s="92"/>
      <c r="L329" s="88"/>
      <c r="N329" s="88">
        <v>325</v>
      </c>
      <c r="O329" s="92">
        <f t="shared" si="38"/>
        <v>5.8333333333333355E-2</v>
      </c>
      <c r="P329" s="92">
        <f>IF($Z$64&lt;S329+(S329*(('Atsipirkimo vertinimas'!$N$19)/12)),($Z$64*T329)+(Q329*U329),S329+(S329*(('Atsipirkimo vertinimas'!$N$19)/12)))</f>
        <v>0</v>
      </c>
      <c r="Q329" s="92">
        <f>IF(T329=0,0,S329*('Atsipirkimo vertinimas'!$N$19)/12)</f>
        <v>0</v>
      </c>
      <c r="R329" s="92">
        <f t="shared" si="40"/>
        <v>0</v>
      </c>
      <c r="S329" s="92">
        <f t="shared" si="41"/>
        <v>0</v>
      </c>
      <c r="T329">
        <f>IF(N329-'Atsipirkimo vertinimas'!$N$20&lt;0,0,1)</f>
        <v>1</v>
      </c>
      <c r="U329">
        <f>IF(N329-'Atsipirkimo vertinimas'!$N$20&gt;=0,0,1)</f>
        <v>0</v>
      </c>
      <c r="V329" s="92"/>
      <c r="W329" s="92"/>
      <c r="X329" s="88"/>
    </row>
    <row r="330" spans="3:24" x14ac:dyDescent="0.25">
      <c r="C330" s="88">
        <v>326</v>
      </c>
      <c r="D330" s="92">
        <f t="shared" si="36"/>
        <v>0.68914351851851452</v>
      </c>
      <c r="E330" s="92">
        <f>IF(H330=0,0,G330*('Atsipirkimo vertinimas'!$N$19)/12)</f>
        <v>-0.34141203703704104</v>
      </c>
      <c r="F330" s="92">
        <f>($G$4/('Atsipirkimo vertinimas'!$N$18*12-'Atsipirkimo vertinimas'!$N$20)*H330)</f>
        <v>0.97222222222222221</v>
      </c>
      <c r="G330" s="92">
        <f t="shared" si="39"/>
        <v>-83.611111111112095</v>
      </c>
      <c r="H330">
        <f>IF(C330-'Atsipirkimo vertinimas'!$N$20&lt;0,0,1)</f>
        <v>1</v>
      </c>
      <c r="I330" s="92"/>
      <c r="J330" s="92">
        <f t="shared" si="37"/>
        <v>0</v>
      </c>
      <c r="K330" s="92"/>
      <c r="L330" s="88"/>
      <c r="N330" s="88">
        <v>326</v>
      </c>
      <c r="O330" s="92">
        <f t="shared" si="38"/>
        <v>5.8333333333333355E-2</v>
      </c>
      <c r="P330" s="92">
        <f>IF($Z$64&lt;S330+(S330*(('Atsipirkimo vertinimas'!$N$19)/12)),($Z$64*T330)+(Q330*U330),S330+(S330*(('Atsipirkimo vertinimas'!$N$19)/12)))</f>
        <v>0</v>
      </c>
      <c r="Q330" s="92">
        <f>IF(T330=0,0,S330*('Atsipirkimo vertinimas'!$N$19)/12)</f>
        <v>0</v>
      </c>
      <c r="R330" s="92">
        <f t="shared" si="40"/>
        <v>0</v>
      </c>
      <c r="S330" s="92">
        <f t="shared" si="41"/>
        <v>0</v>
      </c>
      <c r="T330">
        <f>IF(N330-'Atsipirkimo vertinimas'!$N$20&lt;0,0,1)</f>
        <v>1</v>
      </c>
      <c r="U330">
        <f>IF(N330-'Atsipirkimo vertinimas'!$N$20&gt;=0,0,1)</f>
        <v>0</v>
      </c>
      <c r="V330" s="92"/>
      <c r="W330" s="92"/>
      <c r="X330" s="88"/>
    </row>
    <row r="331" spans="3:24" x14ac:dyDescent="0.25">
      <c r="C331" s="88">
        <v>327</v>
      </c>
      <c r="D331" s="92">
        <f t="shared" si="36"/>
        <v>0.68517361111110708</v>
      </c>
      <c r="E331" s="92">
        <f>IF(H331=0,0,G331*('Atsipirkimo vertinimas'!$N$19)/12)</f>
        <v>-0.34538194444444853</v>
      </c>
      <c r="F331" s="92">
        <f>($G$4/('Atsipirkimo vertinimas'!$N$18*12-'Atsipirkimo vertinimas'!$N$20)*H331)</f>
        <v>0.97222222222222221</v>
      </c>
      <c r="G331" s="92">
        <f t="shared" si="39"/>
        <v>-84.583333333334323</v>
      </c>
      <c r="H331">
        <f>IF(C331-'Atsipirkimo vertinimas'!$N$20&lt;0,0,1)</f>
        <v>1</v>
      </c>
      <c r="I331" s="92"/>
      <c r="J331" s="92">
        <f t="shared" si="37"/>
        <v>0</v>
      </c>
      <c r="K331" s="92"/>
      <c r="L331" s="88"/>
      <c r="N331" s="88">
        <v>327</v>
      </c>
      <c r="O331" s="92">
        <f t="shared" si="38"/>
        <v>5.8333333333333355E-2</v>
      </c>
      <c r="P331" s="92">
        <f>IF($Z$64&lt;S331+(S331*(('Atsipirkimo vertinimas'!$N$19)/12)),($Z$64*T331)+(Q331*U331),S331+(S331*(('Atsipirkimo vertinimas'!$N$19)/12)))</f>
        <v>0</v>
      </c>
      <c r="Q331" s="92">
        <f>IF(T331=0,0,S331*('Atsipirkimo vertinimas'!$N$19)/12)</f>
        <v>0</v>
      </c>
      <c r="R331" s="92">
        <f t="shared" si="40"/>
        <v>0</v>
      </c>
      <c r="S331" s="92">
        <f t="shared" si="41"/>
        <v>0</v>
      </c>
      <c r="T331">
        <f>IF(N331-'Atsipirkimo vertinimas'!$N$20&lt;0,0,1)</f>
        <v>1</v>
      </c>
      <c r="U331">
        <f>IF(N331-'Atsipirkimo vertinimas'!$N$20&gt;=0,0,1)</f>
        <v>0</v>
      </c>
      <c r="V331" s="92"/>
      <c r="W331" s="92"/>
      <c r="X331" s="88"/>
    </row>
    <row r="332" spans="3:24" x14ac:dyDescent="0.25">
      <c r="C332" s="88">
        <v>328</v>
      </c>
      <c r="D332" s="92">
        <f t="shared" si="36"/>
        <v>0.68120370370369965</v>
      </c>
      <c r="E332" s="92">
        <f>IF(H332=0,0,G332*('Atsipirkimo vertinimas'!$N$19)/12)</f>
        <v>-0.34935185185185591</v>
      </c>
      <c r="F332" s="92">
        <f>($G$4/('Atsipirkimo vertinimas'!$N$18*12-'Atsipirkimo vertinimas'!$N$20)*H332)</f>
        <v>0.97222222222222221</v>
      </c>
      <c r="G332" s="92">
        <f t="shared" si="39"/>
        <v>-85.555555555556552</v>
      </c>
      <c r="H332">
        <f>IF(C332-'Atsipirkimo vertinimas'!$N$20&lt;0,0,1)</f>
        <v>1</v>
      </c>
      <c r="I332" s="92"/>
      <c r="J332" s="92">
        <f t="shared" si="37"/>
        <v>0</v>
      </c>
      <c r="K332" s="92"/>
      <c r="L332" s="88"/>
      <c r="N332" s="88">
        <v>328</v>
      </c>
      <c r="O332" s="92">
        <f t="shared" si="38"/>
        <v>5.8333333333333355E-2</v>
      </c>
      <c r="P332" s="92">
        <f>IF($Z$64&lt;S332+(S332*(('Atsipirkimo vertinimas'!$N$19)/12)),($Z$64*T332)+(Q332*U332),S332+(S332*(('Atsipirkimo vertinimas'!$N$19)/12)))</f>
        <v>0</v>
      </c>
      <c r="Q332" s="92">
        <f>IF(T332=0,0,S332*('Atsipirkimo vertinimas'!$N$19)/12)</f>
        <v>0</v>
      </c>
      <c r="R332" s="92">
        <f t="shared" si="40"/>
        <v>0</v>
      </c>
      <c r="S332" s="92">
        <f t="shared" si="41"/>
        <v>0</v>
      </c>
      <c r="T332">
        <f>IF(N332-'Atsipirkimo vertinimas'!$N$20&lt;0,0,1)</f>
        <v>1</v>
      </c>
      <c r="U332">
        <f>IF(N332-'Atsipirkimo vertinimas'!$N$20&gt;=0,0,1)</f>
        <v>0</v>
      </c>
      <c r="V332" s="92"/>
      <c r="W332" s="92"/>
      <c r="X332" s="88"/>
    </row>
    <row r="333" spans="3:24" x14ac:dyDescent="0.25">
      <c r="C333" s="88">
        <v>329</v>
      </c>
      <c r="D333" s="92">
        <f t="shared" si="36"/>
        <v>0.67723379629629221</v>
      </c>
      <c r="E333" s="92">
        <f>IF(H333=0,0,G333*('Atsipirkimo vertinimas'!$N$19)/12)</f>
        <v>-0.3533217592592634</v>
      </c>
      <c r="F333" s="92">
        <f>($G$4/('Atsipirkimo vertinimas'!$N$18*12-'Atsipirkimo vertinimas'!$N$20)*H333)</f>
        <v>0.97222222222222221</v>
      </c>
      <c r="G333" s="92">
        <f t="shared" si="39"/>
        <v>-86.52777777777878</v>
      </c>
      <c r="H333">
        <f>IF(C333-'Atsipirkimo vertinimas'!$N$20&lt;0,0,1)</f>
        <v>1</v>
      </c>
      <c r="I333" s="92"/>
      <c r="J333" s="92">
        <f t="shared" si="37"/>
        <v>0</v>
      </c>
      <c r="K333" s="92"/>
      <c r="L333" s="88"/>
      <c r="N333" s="88">
        <v>329</v>
      </c>
      <c r="O333" s="92">
        <f t="shared" si="38"/>
        <v>5.8333333333333355E-2</v>
      </c>
      <c r="P333" s="92">
        <f>IF($Z$64&lt;S333+(S333*(('Atsipirkimo vertinimas'!$N$19)/12)),($Z$64*T333)+(Q333*U333),S333+(S333*(('Atsipirkimo vertinimas'!$N$19)/12)))</f>
        <v>0</v>
      </c>
      <c r="Q333" s="92">
        <f>IF(T333=0,0,S333*('Atsipirkimo vertinimas'!$N$19)/12)</f>
        <v>0</v>
      </c>
      <c r="R333" s="92">
        <f t="shared" si="40"/>
        <v>0</v>
      </c>
      <c r="S333" s="92">
        <f t="shared" si="41"/>
        <v>0</v>
      </c>
      <c r="T333">
        <f>IF(N333-'Atsipirkimo vertinimas'!$N$20&lt;0,0,1)</f>
        <v>1</v>
      </c>
      <c r="U333">
        <f>IF(N333-'Atsipirkimo vertinimas'!$N$20&gt;=0,0,1)</f>
        <v>0</v>
      </c>
      <c r="V333" s="92"/>
      <c r="W333" s="92"/>
      <c r="X333" s="88"/>
    </row>
    <row r="334" spans="3:24" x14ac:dyDescent="0.25">
      <c r="C334" s="88">
        <v>330</v>
      </c>
      <c r="D334" s="92">
        <f t="shared" si="36"/>
        <v>0.67326388888888478</v>
      </c>
      <c r="E334" s="92">
        <f>IF(H334=0,0,G334*('Atsipirkimo vertinimas'!$N$19)/12)</f>
        <v>-0.35729166666667078</v>
      </c>
      <c r="F334" s="92">
        <f>($G$4/('Atsipirkimo vertinimas'!$N$18*12-'Atsipirkimo vertinimas'!$N$20)*H334)</f>
        <v>0.97222222222222221</v>
      </c>
      <c r="G334" s="92">
        <f t="shared" si="39"/>
        <v>-87.500000000001009</v>
      </c>
      <c r="H334">
        <f>IF(C334-'Atsipirkimo vertinimas'!$N$20&lt;0,0,1)</f>
        <v>1</v>
      </c>
      <c r="I334" s="92"/>
      <c r="J334" s="92">
        <f t="shared" si="37"/>
        <v>0</v>
      </c>
      <c r="K334" s="92"/>
      <c r="L334" s="88"/>
      <c r="N334" s="88">
        <v>330</v>
      </c>
      <c r="O334" s="92">
        <f t="shared" si="38"/>
        <v>5.8333333333333355E-2</v>
      </c>
      <c r="P334" s="92">
        <f>IF($Z$64&lt;S334+(S334*(('Atsipirkimo vertinimas'!$N$19)/12)),($Z$64*T334)+(Q334*U334),S334+(S334*(('Atsipirkimo vertinimas'!$N$19)/12)))</f>
        <v>0</v>
      </c>
      <c r="Q334" s="92">
        <f>IF(T334=0,0,S334*('Atsipirkimo vertinimas'!$N$19)/12)</f>
        <v>0</v>
      </c>
      <c r="R334" s="92">
        <f t="shared" si="40"/>
        <v>0</v>
      </c>
      <c r="S334" s="92">
        <f t="shared" si="41"/>
        <v>0</v>
      </c>
      <c r="T334">
        <f>IF(N334-'Atsipirkimo vertinimas'!$N$20&lt;0,0,1)</f>
        <v>1</v>
      </c>
      <c r="U334">
        <f>IF(N334-'Atsipirkimo vertinimas'!$N$20&gt;=0,0,1)</f>
        <v>0</v>
      </c>
      <c r="V334" s="92"/>
      <c r="W334" s="92"/>
      <c r="X334" s="88"/>
    </row>
    <row r="335" spans="3:24" x14ac:dyDescent="0.25">
      <c r="C335" s="88">
        <v>331</v>
      </c>
      <c r="D335" s="92">
        <f t="shared" si="36"/>
        <v>0.66929398148147734</v>
      </c>
      <c r="E335" s="92">
        <f>IF(H335=0,0,G335*('Atsipirkimo vertinimas'!$N$19)/12)</f>
        <v>-0.36126157407407827</v>
      </c>
      <c r="F335" s="92">
        <f>($G$4/('Atsipirkimo vertinimas'!$N$18*12-'Atsipirkimo vertinimas'!$N$20)*H335)</f>
        <v>0.97222222222222221</v>
      </c>
      <c r="G335" s="92">
        <f t="shared" si="39"/>
        <v>-88.472222222223238</v>
      </c>
      <c r="H335">
        <f>IF(C335-'Atsipirkimo vertinimas'!$N$20&lt;0,0,1)</f>
        <v>1</v>
      </c>
      <c r="I335" s="92"/>
      <c r="J335" s="92">
        <f t="shared" si="37"/>
        <v>0</v>
      </c>
      <c r="K335" s="92"/>
      <c r="L335" s="88"/>
      <c r="N335" s="88">
        <v>331</v>
      </c>
      <c r="O335" s="92">
        <f t="shared" si="38"/>
        <v>5.8333333333333355E-2</v>
      </c>
      <c r="P335" s="92">
        <f>IF($Z$64&lt;S335+(S335*(('Atsipirkimo vertinimas'!$N$19)/12)),($Z$64*T335)+(Q335*U335),S335+(S335*(('Atsipirkimo vertinimas'!$N$19)/12)))</f>
        <v>0</v>
      </c>
      <c r="Q335" s="92">
        <f>IF(T335=0,0,S335*('Atsipirkimo vertinimas'!$N$19)/12)</f>
        <v>0</v>
      </c>
      <c r="R335" s="92">
        <f t="shared" si="40"/>
        <v>0</v>
      </c>
      <c r="S335" s="92">
        <f t="shared" si="41"/>
        <v>0</v>
      </c>
      <c r="T335">
        <f>IF(N335-'Atsipirkimo vertinimas'!$N$20&lt;0,0,1)</f>
        <v>1</v>
      </c>
      <c r="U335">
        <f>IF(N335-'Atsipirkimo vertinimas'!$N$20&gt;=0,0,1)</f>
        <v>0</v>
      </c>
      <c r="V335" s="92"/>
      <c r="W335" s="92"/>
      <c r="X335" s="88"/>
    </row>
    <row r="336" spans="3:24" x14ac:dyDescent="0.25">
      <c r="C336" s="88">
        <v>332</v>
      </c>
      <c r="D336" s="92">
        <f t="shared" si="36"/>
        <v>0.6653240740740699</v>
      </c>
      <c r="E336" s="92">
        <f>IF(H336=0,0,G336*('Atsipirkimo vertinimas'!$N$19)/12)</f>
        <v>-0.36523148148148565</v>
      </c>
      <c r="F336" s="92">
        <f>($G$4/('Atsipirkimo vertinimas'!$N$18*12-'Atsipirkimo vertinimas'!$N$20)*H336)</f>
        <v>0.97222222222222221</v>
      </c>
      <c r="G336" s="92">
        <f t="shared" si="39"/>
        <v>-89.444444444445466</v>
      </c>
      <c r="H336">
        <f>IF(C336-'Atsipirkimo vertinimas'!$N$20&lt;0,0,1)</f>
        <v>1</v>
      </c>
      <c r="I336" s="92"/>
      <c r="J336" s="92">
        <f t="shared" si="37"/>
        <v>0</v>
      </c>
      <c r="K336" s="92"/>
      <c r="L336" s="88"/>
      <c r="N336" s="88">
        <v>332</v>
      </c>
      <c r="O336" s="92">
        <f t="shared" si="38"/>
        <v>5.8333333333333355E-2</v>
      </c>
      <c r="P336" s="92">
        <f>IF($Z$64&lt;S336+(S336*(('Atsipirkimo vertinimas'!$N$19)/12)),($Z$64*T336)+(Q336*U336),S336+(S336*(('Atsipirkimo vertinimas'!$N$19)/12)))</f>
        <v>0</v>
      </c>
      <c r="Q336" s="92">
        <f>IF(T336=0,0,S336*('Atsipirkimo vertinimas'!$N$19)/12)</f>
        <v>0</v>
      </c>
      <c r="R336" s="92">
        <f t="shared" si="40"/>
        <v>0</v>
      </c>
      <c r="S336" s="92">
        <f t="shared" si="41"/>
        <v>0</v>
      </c>
      <c r="T336">
        <f>IF(N336-'Atsipirkimo vertinimas'!$N$20&lt;0,0,1)</f>
        <v>1</v>
      </c>
      <c r="U336">
        <f>IF(N336-'Atsipirkimo vertinimas'!$N$20&gt;=0,0,1)</f>
        <v>0</v>
      </c>
      <c r="V336" s="92"/>
      <c r="W336" s="92"/>
      <c r="X336" s="88"/>
    </row>
    <row r="337" spans="3:24" x14ac:dyDescent="0.25">
      <c r="C337" s="88">
        <v>333</v>
      </c>
      <c r="D337" s="92">
        <f t="shared" si="36"/>
        <v>0.66135416666666247</v>
      </c>
      <c r="E337" s="92">
        <f>IF(H337=0,0,G337*('Atsipirkimo vertinimas'!$N$19)/12)</f>
        <v>-0.36920138888889314</v>
      </c>
      <c r="F337" s="92">
        <f>($G$4/('Atsipirkimo vertinimas'!$N$18*12-'Atsipirkimo vertinimas'!$N$20)*H337)</f>
        <v>0.97222222222222221</v>
      </c>
      <c r="G337" s="92">
        <f t="shared" si="39"/>
        <v>-90.416666666667695</v>
      </c>
      <c r="H337">
        <f>IF(C337-'Atsipirkimo vertinimas'!$N$20&lt;0,0,1)</f>
        <v>1</v>
      </c>
      <c r="I337" s="92"/>
      <c r="J337" s="92">
        <f t="shared" si="37"/>
        <v>0</v>
      </c>
      <c r="K337" s="92"/>
      <c r="L337" s="88"/>
      <c r="N337" s="88">
        <v>333</v>
      </c>
      <c r="O337" s="92">
        <f t="shared" si="38"/>
        <v>5.8333333333333355E-2</v>
      </c>
      <c r="P337" s="92">
        <f>IF($Z$64&lt;S337+(S337*(('Atsipirkimo vertinimas'!$N$19)/12)),($Z$64*T337)+(Q337*U337),S337+(S337*(('Atsipirkimo vertinimas'!$N$19)/12)))</f>
        <v>0</v>
      </c>
      <c r="Q337" s="92">
        <f>IF(T337=0,0,S337*('Atsipirkimo vertinimas'!$N$19)/12)</f>
        <v>0</v>
      </c>
      <c r="R337" s="92">
        <f t="shared" si="40"/>
        <v>0</v>
      </c>
      <c r="S337" s="92">
        <f t="shared" si="41"/>
        <v>0</v>
      </c>
      <c r="T337">
        <f>IF(N337-'Atsipirkimo vertinimas'!$N$20&lt;0,0,1)</f>
        <v>1</v>
      </c>
      <c r="U337">
        <f>IF(N337-'Atsipirkimo vertinimas'!$N$20&gt;=0,0,1)</f>
        <v>0</v>
      </c>
      <c r="V337" s="92"/>
      <c r="W337" s="92"/>
      <c r="X337" s="88"/>
    </row>
    <row r="338" spans="3:24" x14ac:dyDescent="0.25">
      <c r="C338" s="88">
        <v>334</v>
      </c>
      <c r="D338" s="92">
        <f t="shared" si="36"/>
        <v>0.65738425925925503</v>
      </c>
      <c r="E338" s="92">
        <f>IF(H338=0,0,G338*('Atsipirkimo vertinimas'!$N$19)/12)</f>
        <v>-0.37317129629630053</v>
      </c>
      <c r="F338" s="92">
        <f>($G$4/('Atsipirkimo vertinimas'!$N$18*12-'Atsipirkimo vertinimas'!$N$20)*H338)</f>
        <v>0.97222222222222221</v>
      </c>
      <c r="G338" s="92">
        <f t="shared" si="39"/>
        <v>-91.388888888889923</v>
      </c>
      <c r="H338">
        <f>IF(C338-'Atsipirkimo vertinimas'!$N$20&lt;0,0,1)</f>
        <v>1</v>
      </c>
      <c r="I338" s="92"/>
      <c r="J338" s="92">
        <f t="shared" si="37"/>
        <v>0</v>
      </c>
      <c r="K338" s="92"/>
      <c r="L338" s="88"/>
      <c r="N338" s="88">
        <v>334</v>
      </c>
      <c r="O338" s="92">
        <f t="shared" si="38"/>
        <v>5.8333333333333355E-2</v>
      </c>
      <c r="P338" s="92">
        <f>IF($Z$64&lt;S338+(S338*(('Atsipirkimo vertinimas'!$N$19)/12)),($Z$64*T338)+(Q338*U338),S338+(S338*(('Atsipirkimo vertinimas'!$N$19)/12)))</f>
        <v>0</v>
      </c>
      <c r="Q338" s="92">
        <f>IF(T338=0,0,S338*('Atsipirkimo vertinimas'!$N$19)/12)</f>
        <v>0</v>
      </c>
      <c r="R338" s="92">
        <f t="shared" si="40"/>
        <v>0</v>
      </c>
      <c r="S338" s="92">
        <f t="shared" si="41"/>
        <v>0</v>
      </c>
      <c r="T338">
        <f>IF(N338-'Atsipirkimo vertinimas'!$N$20&lt;0,0,1)</f>
        <v>1</v>
      </c>
      <c r="U338">
        <f>IF(N338-'Atsipirkimo vertinimas'!$N$20&gt;=0,0,1)</f>
        <v>0</v>
      </c>
      <c r="V338" s="92"/>
      <c r="W338" s="92"/>
      <c r="X338" s="88"/>
    </row>
    <row r="339" spans="3:24" x14ac:dyDescent="0.25">
      <c r="C339" s="88">
        <v>335</v>
      </c>
      <c r="D339" s="92">
        <f t="shared" si="36"/>
        <v>0.6534143518518476</v>
      </c>
      <c r="E339" s="92">
        <f>IF(H339=0,0,G339*('Atsipirkimo vertinimas'!$N$19)/12)</f>
        <v>-0.37714120370370802</v>
      </c>
      <c r="F339" s="92">
        <f>($G$4/('Atsipirkimo vertinimas'!$N$18*12-'Atsipirkimo vertinimas'!$N$20)*H339)</f>
        <v>0.97222222222222221</v>
      </c>
      <c r="G339" s="92">
        <f t="shared" si="39"/>
        <v>-92.361111111112152</v>
      </c>
      <c r="H339">
        <f>IF(C339-'Atsipirkimo vertinimas'!$N$20&lt;0,0,1)</f>
        <v>1</v>
      </c>
      <c r="I339" s="92"/>
      <c r="J339" s="92">
        <f t="shared" si="37"/>
        <v>0</v>
      </c>
      <c r="K339" s="92"/>
      <c r="L339" s="91">
        <f>IF('Atsipirkimo vertinimas'!$N$18*12&gt;Grafikas!C339,SUM(D328:D339),0)</f>
        <v>0</v>
      </c>
      <c r="N339" s="88">
        <v>335</v>
      </c>
      <c r="O339" s="92">
        <f t="shared" si="38"/>
        <v>5.8333333333333355E-2</v>
      </c>
      <c r="P339" s="92">
        <f>IF($Z$64&lt;S339+(S339*(('Atsipirkimo vertinimas'!$N$19)/12)),($Z$64*T339)+(Q339*U339),S339+(S339*(('Atsipirkimo vertinimas'!$N$19)/12)))</f>
        <v>0</v>
      </c>
      <c r="Q339" s="92">
        <f>IF(T339=0,0,S339*('Atsipirkimo vertinimas'!$N$19)/12)</f>
        <v>0</v>
      </c>
      <c r="R339" s="92">
        <f t="shared" si="40"/>
        <v>0</v>
      </c>
      <c r="S339" s="92">
        <f t="shared" si="41"/>
        <v>0</v>
      </c>
      <c r="T339">
        <f>IF(N339-'Atsipirkimo vertinimas'!$N$20&lt;0,0,1)</f>
        <v>1</v>
      </c>
      <c r="U339">
        <f>IF(N339-'Atsipirkimo vertinimas'!$N$20&gt;=0,0,1)</f>
        <v>0</v>
      </c>
      <c r="V339" s="92"/>
      <c r="W339" s="92"/>
      <c r="X339" s="91">
        <f>IF('Atsipirkimo vertinimas'!$N$18*12&gt;Grafikas!C339,SUM(O328:O339),0)</f>
        <v>0</v>
      </c>
    </row>
    <row r="340" spans="3:24" x14ac:dyDescent="0.25">
      <c r="C340" s="88">
        <v>336</v>
      </c>
      <c r="D340" s="92">
        <f t="shared" si="36"/>
        <v>0.64944444444444016</v>
      </c>
      <c r="E340" s="92">
        <f>IF(H340=0,0,G340*('Atsipirkimo vertinimas'!$N$19)/12)</f>
        <v>-0.3811111111111154</v>
      </c>
      <c r="F340" s="92">
        <f>($G$4/('Atsipirkimo vertinimas'!$N$18*12-'Atsipirkimo vertinimas'!$N$20)*H340)</f>
        <v>0.97222222222222221</v>
      </c>
      <c r="G340" s="92">
        <f t="shared" si="39"/>
        <v>-93.33333333333438</v>
      </c>
      <c r="H340">
        <f>IF(C340-'Atsipirkimo vertinimas'!$N$20&lt;0,0,1)</f>
        <v>1</v>
      </c>
      <c r="I340" s="92"/>
      <c r="J340" s="92">
        <f t="shared" si="37"/>
        <v>0</v>
      </c>
      <c r="K340" s="92"/>
      <c r="L340" s="88"/>
      <c r="N340" s="88">
        <v>336</v>
      </c>
      <c r="O340" s="92">
        <f t="shared" si="38"/>
        <v>5.8333333333333355E-2</v>
      </c>
      <c r="P340" s="92">
        <f>IF($Z$64&lt;S340+(S340*(('Atsipirkimo vertinimas'!$N$19)/12)),($Z$64*T340)+(Q340*U340),S340+(S340*(('Atsipirkimo vertinimas'!$N$19)/12)))</f>
        <v>0</v>
      </c>
      <c r="Q340" s="92">
        <f>IF(T340=0,0,S340*('Atsipirkimo vertinimas'!$N$19)/12)</f>
        <v>0</v>
      </c>
      <c r="R340" s="92">
        <f t="shared" si="40"/>
        <v>0</v>
      </c>
      <c r="S340" s="92">
        <f t="shared" si="41"/>
        <v>0</v>
      </c>
      <c r="T340">
        <f>IF(N340-'Atsipirkimo vertinimas'!$N$20&lt;0,0,1)</f>
        <v>1</v>
      </c>
      <c r="U340">
        <f>IF(N340-'Atsipirkimo vertinimas'!$N$20&gt;=0,0,1)</f>
        <v>0</v>
      </c>
      <c r="V340" s="92"/>
      <c r="W340" s="92"/>
      <c r="X340" s="88"/>
    </row>
    <row r="341" spans="3:24" x14ac:dyDescent="0.25">
      <c r="C341" s="88">
        <v>337</v>
      </c>
      <c r="D341" s="92">
        <f t="shared" si="36"/>
        <v>0.64547453703703273</v>
      </c>
      <c r="E341" s="92">
        <f>IF(H341=0,0,G341*('Atsipirkimo vertinimas'!$N$19)/12)</f>
        <v>-0.38508101851852289</v>
      </c>
      <c r="F341" s="92">
        <f>($G$4/('Atsipirkimo vertinimas'!$N$18*12-'Atsipirkimo vertinimas'!$N$20)*H341)</f>
        <v>0.97222222222222221</v>
      </c>
      <c r="G341" s="92">
        <f t="shared" si="39"/>
        <v>-94.305555555556609</v>
      </c>
      <c r="H341">
        <f>IF(C341-'Atsipirkimo vertinimas'!$N$20&lt;0,0,1)</f>
        <v>1</v>
      </c>
      <c r="I341" s="92"/>
      <c r="J341" s="92">
        <f t="shared" si="37"/>
        <v>0</v>
      </c>
      <c r="K341" s="92"/>
      <c r="L341" s="88"/>
      <c r="N341" s="88">
        <v>337</v>
      </c>
      <c r="O341" s="92">
        <f t="shared" si="38"/>
        <v>5.8333333333333355E-2</v>
      </c>
      <c r="P341" s="92">
        <f>IF($Z$64&lt;S341+(S341*(('Atsipirkimo vertinimas'!$N$19)/12)),($Z$64*T341)+(Q341*U341),S341+(S341*(('Atsipirkimo vertinimas'!$N$19)/12)))</f>
        <v>0</v>
      </c>
      <c r="Q341" s="92">
        <f>IF(T341=0,0,S341*('Atsipirkimo vertinimas'!$N$19)/12)</f>
        <v>0</v>
      </c>
      <c r="R341" s="92">
        <f t="shared" si="40"/>
        <v>0</v>
      </c>
      <c r="S341" s="92">
        <f t="shared" si="41"/>
        <v>0</v>
      </c>
      <c r="T341">
        <f>IF(N341-'Atsipirkimo vertinimas'!$N$20&lt;0,0,1)</f>
        <v>1</v>
      </c>
      <c r="U341">
        <f>IF(N341-'Atsipirkimo vertinimas'!$N$20&gt;=0,0,1)</f>
        <v>0</v>
      </c>
      <c r="V341" s="92"/>
      <c r="W341" s="92"/>
      <c r="X341" s="88"/>
    </row>
    <row r="342" spans="3:24" x14ac:dyDescent="0.25">
      <c r="C342" s="88">
        <v>338</v>
      </c>
      <c r="D342" s="92">
        <f t="shared" si="36"/>
        <v>0.64150462962962529</v>
      </c>
      <c r="E342" s="92">
        <f>IF(H342=0,0,G342*('Atsipirkimo vertinimas'!$N$19)/12)</f>
        <v>-0.38905092592593027</v>
      </c>
      <c r="F342" s="92">
        <f>($G$4/('Atsipirkimo vertinimas'!$N$18*12-'Atsipirkimo vertinimas'!$N$20)*H342)</f>
        <v>0.97222222222222221</v>
      </c>
      <c r="G342" s="92">
        <f t="shared" si="39"/>
        <v>-95.277777777778837</v>
      </c>
      <c r="H342">
        <f>IF(C342-'Atsipirkimo vertinimas'!$N$20&lt;0,0,1)</f>
        <v>1</v>
      </c>
      <c r="I342" s="92"/>
      <c r="J342" s="92">
        <f t="shared" si="37"/>
        <v>0</v>
      </c>
      <c r="K342" s="92"/>
      <c r="L342" s="88"/>
      <c r="N342" s="88">
        <v>338</v>
      </c>
      <c r="O342" s="92">
        <f t="shared" si="38"/>
        <v>5.8333333333333355E-2</v>
      </c>
      <c r="P342" s="92">
        <f>IF($Z$64&lt;S342+(S342*(('Atsipirkimo vertinimas'!$N$19)/12)),($Z$64*T342)+(Q342*U342),S342+(S342*(('Atsipirkimo vertinimas'!$N$19)/12)))</f>
        <v>0</v>
      </c>
      <c r="Q342" s="92">
        <f>IF(T342=0,0,S342*('Atsipirkimo vertinimas'!$N$19)/12)</f>
        <v>0</v>
      </c>
      <c r="R342" s="92">
        <f t="shared" si="40"/>
        <v>0</v>
      </c>
      <c r="S342" s="92">
        <f t="shared" si="41"/>
        <v>0</v>
      </c>
      <c r="T342">
        <f>IF(N342-'Atsipirkimo vertinimas'!$N$20&lt;0,0,1)</f>
        <v>1</v>
      </c>
      <c r="U342">
        <f>IF(N342-'Atsipirkimo vertinimas'!$N$20&gt;=0,0,1)</f>
        <v>0</v>
      </c>
      <c r="V342" s="92"/>
      <c r="W342" s="92"/>
      <c r="X342" s="88"/>
    </row>
    <row r="343" spans="3:24" x14ac:dyDescent="0.25">
      <c r="C343" s="88">
        <v>339</v>
      </c>
      <c r="D343" s="92">
        <f t="shared" si="36"/>
        <v>0.63753472222221785</v>
      </c>
      <c r="E343" s="92">
        <f>IF(H343=0,0,G343*('Atsipirkimo vertinimas'!$N$19)/12)</f>
        <v>-0.39302083333333765</v>
      </c>
      <c r="F343" s="92">
        <f>($G$4/('Atsipirkimo vertinimas'!$N$18*12-'Atsipirkimo vertinimas'!$N$20)*H343)</f>
        <v>0.97222222222222221</v>
      </c>
      <c r="G343" s="92">
        <f t="shared" si="39"/>
        <v>-96.250000000001066</v>
      </c>
      <c r="H343">
        <f>IF(C343-'Atsipirkimo vertinimas'!$N$20&lt;0,0,1)</f>
        <v>1</v>
      </c>
      <c r="I343" s="92"/>
      <c r="J343" s="92">
        <f t="shared" si="37"/>
        <v>0</v>
      </c>
      <c r="K343" s="92"/>
      <c r="L343" s="88"/>
      <c r="N343" s="88">
        <v>339</v>
      </c>
      <c r="O343" s="92">
        <f t="shared" si="38"/>
        <v>5.8333333333333355E-2</v>
      </c>
      <c r="P343" s="92">
        <f>IF($Z$64&lt;S343+(S343*(('Atsipirkimo vertinimas'!$N$19)/12)),($Z$64*T343)+(Q343*U343),S343+(S343*(('Atsipirkimo vertinimas'!$N$19)/12)))</f>
        <v>0</v>
      </c>
      <c r="Q343" s="92">
        <f>IF(T343=0,0,S343*('Atsipirkimo vertinimas'!$N$19)/12)</f>
        <v>0</v>
      </c>
      <c r="R343" s="92">
        <f t="shared" si="40"/>
        <v>0</v>
      </c>
      <c r="S343" s="92">
        <f t="shared" si="41"/>
        <v>0</v>
      </c>
      <c r="T343">
        <f>IF(N343-'Atsipirkimo vertinimas'!$N$20&lt;0,0,1)</f>
        <v>1</v>
      </c>
      <c r="U343">
        <f>IF(N343-'Atsipirkimo vertinimas'!$N$20&gt;=0,0,1)</f>
        <v>0</v>
      </c>
      <c r="V343" s="92"/>
      <c r="W343" s="92"/>
      <c r="X343" s="88"/>
    </row>
    <row r="344" spans="3:24" x14ac:dyDescent="0.25">
      <c r="C344" s="88">
        <v>340</v>
      </c>
      <c r="D344" s="92">
        <f t="shared" si="36"/>
        <v>0.63356481481481042</v>
      </c>
      <c r="E344" s="92">
        <f>IF(H344=0,0,G344*('Atsipirkimo vertinimas'!$N$19)/12)</f>
        <v>-0.39699074074074514</v>
      </c>
      <c r="F344" s="92">
        <f>($G$4/('Atsipirkimo vertinimas'!$N$18*12-'Atsipirkimo vertinimas'!$N$20)*H344)</f>
        <v>0.97222222222222221</v>
      </c>
      <c r="G344" s="92">
        <f t="shared" si="39"/>
        <v>-97.222222222223294</v>
      </c>
      <c r="H344">
        <f>IF(C344-'Atsipirkimo vertinimas'!$N$20&lt;0,0,1)</f>
        <v>1</v>
      </c>
      <c r="I344" s="92"/>
      <c r="J344" s="92">
        <f t="shared" si="37"/>
        <v>0</v>
      </c>
      <c r="K344" s="92"/>
      <c r="L344" s="88"/>
      <c r="N344" s="88">
        <v>340</v>
      </c>
      <c r="O344" s="92">
        <f t="shared" si="38"/>
        <v>5.8333333333333355E-2</v>
      </c>
      <c r="P344" s="92">
        <f>IF($Z$64&lt;S344+(S344*(('Atsipirkimo vertinimas'!$N$19)/12)),($Z$64*T344)+(Q344*U344),S344+(S344*(('Atsipirkimo vertinimas'!$N$19)/12)))</f>
        <v>0</v>
      </c>
      <c r="Q344" s="92">
        <f>IF(T344=0,0,S344*('Atsipirkimo vertinimas'!$N$19)/12)</f>
        <v>0</v>
      </c>
      <c r="R344" s="92">
        <f t="shared" si="40"/>
        <v>0</v>
      </c>
      <c r="S344" s="92">
        <f t="shared" si="41"/>
        <v>0</v>
      </c>
      <c r="T344">
        <f>IF(N344-'Atsipirkimo vertinimas'!$N$20&lt;0,0,1)</f>
        <v>1</v>
      </c>
      <c r="U344">
        <f>IF(N344-'Atsipirkimo vertinimas'!$N$20&gt;=0,0,1)</f>
        <v>0</v>
      </c>
      <c r="V344" s="92"/>
      <c r="W344" s="92"/>
      <c r="X344" s="88"/>
    </row>
    <row r="345" spans="3:24" x14ac:dyDescent="0.25">
      <c r="C345" s="88">
        <v>341</v>
      </c>
      <c r="D345" s="92">
        <f t="shared" si="36"/>
        <v>0.62959490740740298</v>
      </c>
      <c r="E345" s="92">
        <f>IF(H345=0,0,G345*('Atsipirkimo vertinimas'!$N$19)/12)</f>
        <v>-0.40096064814815252</v>
      </c>
      <c r="F345" s="92">
        <f>($G$4/('Atsipirkimo vertinimas'!$N$18*12-'Atsipirkimo vertinimas'!$N$20)*H345)</f>
        <v>0.97222222222222221</v>
      </c>
      <c r="G345" s="92">
        <f t="shared" si="39"/>
        <v>-98.194444444445523</v>
      </c>
      <c r="H345">
        <f>IF(C345-'Atsipirkimo vertinimas'!$N$20&lt;0,0,1)</f>
        <v>1</v>
      </c>
      <c r="I345" s="92"/>
      <c r="J345" s="92">
        <f t="shared" si="37"/>
        <v>0</v>
      </c>
      <c r="K345" s="92"/>
      <c r="L345" s="88"/>
      <c r="N345" s="88">
        <v>341</v>
      </c>
      <c r="O345" s="92">
        <f t="shared" si="38"/>
        <v>5.8333333333333355E-2</v>
      </c>
      <c r="P345" s="92">
        <f>IF($Z$64&lt;S345+(S345*(('Atsipirkimo vertinimas'!$N$19)/12)),($Z$64*T345)+(Q345*U345),S345+(S345*(('Atsipirkimo vertinimas'!$N$19)/12)))</f>
        <v>0</v>
      </c>
      <c r="Q345" s="92">
        <f>IF(T345=0,0,S345*('Atsipirkimo vertinimas'!$N$19)/12)</f>
        <v>0</v>
      </c>
      <c r="R345" s="92">
        <f t="shared" si="40"/>
        <v>0</v>
      </c>
      <c r="S345" s="92">
        <f t="shared" si="41"/>
        <v>0</v>
      </c>
      <c r="T345">
        <f>IF(N345-'Atsipirkimo vertinimas'!$N$20&lt;0,0,1)</f>
        <v>1</v>
      </c>
      <c r="U345">
        <f>IF(N345-'Atsipirkimo vertinimas'!$N$20&gt;=0,0,1)</f>
        <v>0</v>
      </c>
      <c r="V345" s="92"/>
      <c r="W345" s="92"/>
      <c r="X345" s="88"/>
    </row>
    <row r="346" spans="3:24" x14ac:dyDescent="0.25">
      <c r="C346" s="88">
        <v>342</v>
      </c>
      <c r="D346" s="92">
        <f t="shared" si="36"/>
        <v>0.62562499999999555</v>
      </c>
      <c r="E346" s="92">
        <f>IF(H346=0,0,G346*('Atsipirkimo vertinimas'!$N$19)/12)</f>
        <v>-0.40493055555556001</v>
      </c>
      <c r="F346" s="92">
        <f>($G$4/('Atsipirkimo vertinimas'!$N$18*12-'Atsipirkimo vertinimas'!$N$20)*H346)</f>
        <v>0.97222222222222221</v>
      </c>
      <c r="G346" s="92">
        <f t="shared" si="39"/>
        <v>-99.166666666667751</v>
      </c>
      <c r="H346">
        <f>IF(C346-'Atsipirkimo vertinimas'!$N$20&lt;0,0,1)</f>
        <v>1</v>
      </c>
      <c r="I346" s="92"/>
      <c r="J346" s="92">
        <f t="shared" si="37"/>
        <v>0</v>
      </c>
      <c r="K346" s="92"/>
      <c r="L346" s="88"/>
      <c r="N346" s="88">
        <v>342</v>
      </c>
      <c r="O346" s="92">
        <f t="shared" si="38"/>
        <v>5.8333333333333355E-2</v>
      </c>
      <c r="P346" s="92">
        <f>IF($Z$64&lt;S346+(S346*(('Atsipirkimo vertinimas'!$N$19)/12)),($Z$64*T346)+(Q346*U346),S346+(S346*(('Atsipirkimo vertinimas'!$N$19)/12)))</f>
        <v>0</v>
      </c>
      <c r="Q346" s="92">
        <f>IF(T346=0,0,S346*('Atsipirkimo vertinimas'!$N$19)/12)</f>
        <v>0</v>
      </c>
      <c r="R346" s="92">
        <f t="shared" si="40"/>
        <v>0</v>
      </c>
      <c r="S346" s="92">
        <f t="shared" si="41"/>
        <v>0</v>
      </c>
      <c r="T346">
        <f>IF(N346-'Atsipirkimo vertinimas'!$N$20&lt;0,0,1)</f>
        <v>1</v>
      </c>
      <c r="U346">
        <f>IF(N346-'Atsipirkimo vertinimas'!$N$20&gt;=0,0,1)</f>
        <v>0</v>
      </c>
      <c r="V346" s="92"/>
      <c r="W346" s="92"/>
      <c r="X346" s="88"/>
    </row>
    <row r="347" spans="3:24" x14ac:dyDescent="0.25">
      <c r="C347" s="88">
        <v>343</v>
      </c>
      <c r="D347" s="92">
        <f t="shared" si="36"/>
        <v>0.62165509259258811</v>
      </c>
      <c r="E347" s="92">
        <f>IF(H347=0,0,G347*('Atsipirkimo vertinimas'!$N$19)/12)</f>
        <v>-0.40890046296296739</v>
      </c>
      <c r="F347" s="92">
        <f>($G$4/('Atsipirkimo vertinimas'!$N$18*12-'Atsipirkimo vertinimas'!$N$20)*H347)</f>
        <v>0.97222222222222221</v>
      </c>
      <c r="G347" s="92">
        <f t="shared" si="39"/>
        <v>-100.13888888888998</v>
      </c>
      <c r="H347">
        <f>IF(C347-'Atsipirkimo vertinimas'!$N$20&lt;0,0,1)</f>
        <v>1</v>
      </c>
      <c r="I347" s="92"/>
      <c r="J347" s="92">
        <f t="shared" si="37"/>
        <v>0</v>
      </c>
      <c r="K347" s="92"/>
      <c r="L347" s="88"/>
      <c r="N347" s="88">
        <v>343</v>
      </c>
      <c r="O347" s="92">
        <f t="shared" si="38"/>
        <v>5.8333333333333355E-2</v>
      </c>
      <c r="P347" s="92">
        <f>IF($Z$64&lt;S347+(S347*(('Atsipirkimo vertinimas'!$N$19)/12)),($Z$64*T347)+(Q347*U347),S347+(S347*(('Atsipirkimo vertinimas'!$N$19)/12)))</f>
        <v>0</v>
      </c>
      <c r="Q347" s="92">
        <f>IF(T347=0,0,S347*('Atsipirkimo vertinimas'!$N$19)/12)</f>
        <v>0</v>
      </c>
      <c r="R347" s="92">
        <f t="shared" si="40"/>
        <v>0</v>
      </c>
      <c r="S347" s="92">
        <f t="shared" si="41"/>
        <v>0</v>
      </c>
      <c r="T347">
        <f>IF(N347-'Atsipirkimo vertinimas'!$N$20&lt;0,0,1)</f>
        <v>1</v>
      </c>
      <c r="U347">
        <f>IF(N347-'Atsipirkimo vertinimas'!$N$20&gt;=0,0,1)</f>
        <v>0</v>
      </c>
      <c r="V347" s="92"/>
      <c r="W347" s="92"/>
      <c r="X347" s="88"/>
    </row>
    <row r="348" spans="3:24" x14ac:dyDescent="0.25">
      <c r="C348" s="88">
        <v>344</v>
      </c>
      <c r="D348" s="92">
        <f t="shared" si="36"/>
        <v>0.61768518518518067</v>
      </c>
      <c r="E348" s="92">
        <f>IF(H348=0,0,G348*('Atsipirkimo vertinimas'!$N$19)/12)</f>
        <v>-0.41287037037037488</v>
      </c>
      <c r="F348" s="92">
        <f>($G$4/('Atsipirkimo vertinimas'!$N$18*12-'Atsipirkimo vertinimas'!$N$20)*H348)</f>
        <v>0.97222222222222221</v>
      </c>
      <c r="G348" s="92">
        <f t="shared" si="39"/>
        <v>-101.11111111111221</v>
      </c>
      <c r="H348">
        <f>IF(C348-'Atsipirkimo vertinimas'!$N$20&lt;0,0,1)</f>
        <v>1</v>
      </c>
      <c r="I348" s="92"/>
      <c r="J348" s="92">
        <f t="shared" si="37"/>
        <v>0</v>
      </c>
      <c r="K348" s="92"/>
      <c r="L348" s="88"/>
      <c r="N348" s="88">
        <v>344</v>
      </c>
      <c r="O348" s="92">
        <f t="shared" si="38"/>
        <v>5.8333333333333355E-2</v>
      </c>
      <c r="P348" s="92">
        <f>IF($Z$64&lt;S348+(S348*(('Atsipirkimo vertinimas'!$N$19)/12)),($Z$64*T348)+(Q348*U348),S348+(S348*(('Atsipirkimo vertinimas'!$N$19)/12)))</f>
        <v>0</v>
      </c>
      <c r="Q348" s="92">
        <f>IF(T348=0,0,S348*('Atsipirkimo vertinimas'!$N$19)/12)</f>
        <v>0</v>
      </c>
      <c r="R348" s="92">
        <f t="shared" si="40"/>
        <v>0</v>
      </c>
      <c r="S348" s="92">
        <f t="shared" si="41"/>
        <v>0</v>
      </c>
      <c r="T348">
        <f>IF(N348-'Atsipirkimo vertinimas'!$N$20&lt;0,0,1)</f>
        <v>1</v>
      </c>
      <c r="U348">
        <f>IF(N348-'Atsipirkimo vertinimas'!$N$20&gt;=0,0,1)</f>
        <v>0</v>
      </c>
      <c r="V348" s="92"/>
      <c r="W348" s="92"/>
      <c r="X348" s="88"/>
    </row>
    <row r="349" spans="3:24" x14ac:dyDescent="0.25">
      <c r="C349" s="88">
        <v>345</v>
      </c>
      <c r="D349" s="92">
        <f t="shared" si="36"/>
        <v>0.61371527777777324</v>
      </c>
      <c r="E349" s="92">
        <f>IF(H349=0,0,G349*('Atsipirkimo vertinimas'!$N$19)/12)</f>
        <v>-0.41684027777778226</v>
      </c>
      <c r="F349" s="92">
        <f>($G$4/('Atsipirkimo vertinimas'!$N$18*12-'Atsipirkimo vertinimas'!$N$20)*H349)</f>
        <v>0.97222222222222221</v>
      </c>
      <c r="G349" s="92">
        <f t="shared" si="39"/>
        <v>-102.08333333333444</v>
      </c>
      <c r="H349">
        <f>IF(C349-'Atsipirkimo vertinimas'!$N$20&lt;0,0,1)</f>
        <v>1</v>
      </c>
      <c r="I349" s="92"/>
      <c r="J349" s="92">
        <f t="shared" si="37"/>
        <v>0</v>
      </c>
      <c r="K349" s="92"/>
      <c r="L349" s="88"/>
      <c r="N349" s="88">
        <v>345</v>
      </c>
      <c r="O349" s="92">
        <f t="shared" si="38"/>
        <v>5.8333333333333355E-2</v>
      </c>
      <c r="P349" s="92">
        <f>IF($Z$64&lt;S349+(S349*(('Atsipirkimo vertinimas'!$N$19)/12)),($Z$64*T349)+(Q349*U349),S349+(S349*(('Atsipirkimo vertinimas'!$N$19)/12)))</f>
        <v>0</v>
      </c>
      <c r="Q349" s="92">
        <f>IF(T349=0,0,S349*('Atsipirkimo vertinimas'!$N$19)/12)</f>
        <v>0</v>
      </c>
      <c r="R349" s="92">
        <f t="shared" si="40"/>
        <v>0</v>
      </c>
      <c r="S349" s="92">
        <f t="shared" si="41"/>
        <v>0</v>
      </c>
      <c r="T349">
        <f>IF(N349-'Atsipirkimo vertinimas'!$N$20&lt;0,0,1)</f>
        <v>1</v>
      </c>
      <c r="U349">
        <f>IF(N349-'Atsipirkimo vertinimas'!$N$20&gt;=0,0,1)</f>
        <v>0</v>
      </c>
      <c r="V349" s="92"/>
      <c r="W349" s="92"/>
      <c r="X349" s="88"/>
    </row>
    <row r="350" spans="3:24" x14ac:dyDescent="0.25">
      <c r="C350" s="88">
        <v>346</v>
      </c>
      <c r="D350" s="92">
        <f t="shared" si="36"/>
        <v>0.6097453703703658</v>
      </c>
      <c r="E350" s="92">
        <f>IF(H350=0,0,G350*('Atsipirkimo vertinimas'!$N$19)/12)</f>
        <v>-0.42081018518518976</v>
      </c>
      <c r="F350" s="92">
        <f>($G$4/('Atsipirkimo vertinimas'!$N$18*12-'Atsipirkimo vertinimas'!$N$20)*H350)</f>
        <v>0.97222222222222221</v>
      </c>
      <c r="G350" s="92">
        <f t="shared" si="39"/>
        <v>-103.05555555555667</v>
      </c>
      <c r="H350">
        <f>IF(C350-'Atsipirkimo vertinimas'!$N$20&lt;0,0,1)</f>
        <v>1</v>
      </c>
      <c r="I350" s="92"/>
      <c r="J350" s="92">
        <f t="shared" si="37"/>
        <v>0</v>
      </c>
      <c r="K350" s="92"/>
      <c r="L350" s="88"/>
      <c r="N350" s="88">
        <v>346</v>
      </c>
      <c r="O350" s="92">
        <f t="shared" si="38"/>
        <v>5.8333333333333355E-2</v>
      </c>
      <c r="P350" s="92">
        <f>IF($Z$64&lt;S350+(S350*(('Atsipirkimo vertinimas'!$N$19)/12)),($Z$64*T350)+(Q350*U350),S350+(S350*(('Atsipirkimo vertinimas'!$N$19)/12)))</f>
        <v>0</v>
      </c>
      <c r="Q350" s="92">
        <f>IF(T350=0,0,S350*('Atsipirkimo vertinimas'!$N$19)/12)</f>
        <v>0</v>
      </c>
      <c r="R350" s="92">
        <f t="shared" si="40"/>
        <v>0</v>
      </c>
      <c r="S350" s="92">
        <f t="shared" si="41"/>
        <v>0</v>
      </c>
      <c r="T350">
        <f>IF(N350-'Atsipirkimo vertinimas'!$N$20&lt;0,0,1)</f>
        <v>1</v>
      </c>
      <c r="U350">
        <f>IF(N350-'Atsipirkimo vertinimas'!$N$20&gt;=0,0,1)</f>
        <v>0</v>
      </c>
      <c r="V350" s="92"/>
      <c r="W350" s="92"/>
      <c r="X350" s="88"/>
    </row>
    <row r="351" spans="3:24" x14ac:dyDescent="0.25">
      <c r="C351" s="88">
        <v>347</v>
      </c>
      <c r="D351" s="92">
        <f t="shared" si="36"/>
        <v>0.60577546296295837</v>
      </c>
      <c r="E351" s="92">
        <f>IF(H351=0,0,G351*('Atsipirkimo vertinimas'!$N$19)/12)</f>
        <v>-0.42478009259259714</v>
      </c>
      <c r="F351" s="92">
        <f>($G$4/('Atsipirkimo vertinimas'!$N$18*12-'Atsipirkimo vertinimas'!$N$20)*H351)</f>
        <v>0.97222222222222221</v>
      </c>
      <c r="G351" s="92">
        <f t="shared" si="39"/>
        <v>-104.02777777777889</v>
      </c>
      <c r="H351">
        <f>IF(C351-'Atsipirkimo vertinimas'!$N$20&lt;0,0,1)</f>
        <v>1</v>
      </c>
      <c r="I351" s="92"/>
      <c r="J351" s="92">
        <f t="shared" si="37"/>
        <v>0</v>
      </c>
      <c r="K351" s="92"/>
      <c r="L351" s="91">
        <f>IF('Atsipirkimo vertinimas'!$N$18*12&gt;Grafikas!C351,SUM(D340:D351),0)</f>
        <v>0</v>
      </c>
      <c r="N351" s="88">
        <v>347</v>
      </c>
      <c r="O351" s="92">
        <f t="shared" si="38"/>
        <v>5.8333333333333355E-2</v>
      </c>
      <c r="P351" s="92">
        <f>IF($Z$64&lt;S351+(S351*(('Atsipirkimo vertinimas'!$N$19)/12)),($Z$64*T351)+(Q351*U351),S351+(S351*(('Atsipirkimo vertinimas'!$N$19)/12)))</f>
        <v>0</v>
      </c>
      <c r="Q351" s="92">
        <f>IF(T351=0,0,S351*('Atsipirkimo vertinimas'!$N$19)/12)</f>
        <v>0</v>
      </c>
      <c r="R351" s="92">
        <f t="shared" si="40"/>
        <v>0</v>
      </c>
      <c r="S351" s="92">
        <f t="shared" si="41"/>
        <v>0</v>
      </c>
      <c r="T351">
        <f>IF(N351-'Atsipirkimo vertinimas'!$N$20&lt;0,0,1)</f>
        <v>1</v>
      </c>
      <c r="U351">
        <f>IF(N351-'Atsipirkimo vertinimas'!$N$20&gt;=0,0,1)</f>
        <v>0</v>
      </c>
      <c r="V351" s="92"/>
      <c r="W351" s="92"/>
      <c r="X351" s="91">
        <f>IF('Atsipirkimo vertinimas'!$N$18*12&gt;Grafikas!C351,SUM(O340:O351),0)</f>
        <v>0</v>
      </c>
    </row>
    <row r="352" spans="3:24" x14ac:dyDescent="0.25">
      <c r="C352" s="88">
        <v>348</v>
      </c>
      <c r="D352" s="92">
        <f t="shared" si="36"/>
        <v>0.60180555555555093</v>
      </c>
      <c r="E352" s="92">
        <f>IF(H352=0,0,G352*('Atsipirkimo vertinimas'!$N$19)/12)</f>
        <v>-0.42875000000000463</v>
      </c>
      <c r="F352" s="92">
        <f>($G$4/('Atsipirkimo vertinimas'!$N$18*12-'Atsipirkimo vertinimas'!$N$20)*H352)</f>
        <v>0.97222222222222221</v>
      </c>
      <c r="G352" s="92">
        <f t="shared" si="39"/>
        <v>-105.00000000000112</v>
      </c>
      <c r="H352">
        <f>IF(C352-'Atsipirkimo vertinimas'!$N$20&lt;0,0,1)</f>
        <v>1</v>
      </c>
      <c r="I352" s="92"/>
      <c r="J352" s="92">
        <f t="shared" si="37"/>
        <v>0</v>
      </c>
      <c r="K352" s="92"/>
      <c r="L352" s="88"/>
      <c r="N352" s="88">
        <v>348</v>
      </c>
      <c r="O352" s="92">
        <f t="shared" si="38"/>
        <v>5.8333333333333355E-2</v>
      </c>
      <c r="P352" s="92">
        <f>IF($Z$64&lt;S352+(S352*(('Atsipirkimo vertinimas'!$N$19)/12)),($Z$64*T352)+(Q352*U352),S352+(S352*(('Atsipirkimo vertinimas'!$N$19)/12)))</f>
        <v>0</v>
      </c>
      <c r="Q352" s="92">
        <f>IF(T352=0,0,S352*('Atsipirkimo vertinimas'!$N$19)/12)</f>
        <v>0</v>
      </c>
      <c r="R352" s="92">
        <f t="shared" si="40"/>
        <v>0</v>
      </c>
      <c r="S352" s="92">
        <f t="shared" si="41"/>
        <v>0</v>
      </c>
      <c r="T352">
        <f>IF(N352-'Atsipirkimo vertinimas'!$N$20&lt;0,0,1)</f>
        <v>1</v>
      </c>
      <c r="U352">
        <f>IF(N352-'Atsipirkimo vertinimas'!$N$20&gt;=0,0,1)</f>
        <v>0</v>
      </c>
      <c r="V352" s="92"/>
      <c r="W352" s="92"/>
      <c r="X352" s="88"/>
    </row>
    <row r="353" spans="3:24" x14ac:dyDescent="0.25">
      <c r="C353" s="88">
        <v>349</v>
      </c>
      <c r="D353" s="92">
        <f t="shared" si="36"/>
        <v>0.59783564814814349</v>
      </c>
      <c r="E353" s="92">
        <f>IF(H353=0,0,G353*('Atsipirkimo vertinimas'!$N$19)/12)</f>
        <v>-0.43271990740741201</v>
      </c>
      <c r="F353" s="92">
        <f>($G$4/('Atsipirkimo vertinimas'!$N$18*12-'Atsipirkimo vertinimas'!$N$20)*H353)</f>
        <v>0.97222222222222221</v>
      </c>
      <c r="G353" s="92">
        <f t="shared" si="39"/>
        <v>-105.97222222222335</v>
      </c>
      <c r="H353">
        <f>IF(C353-'Atsipirkimo vertinimas'!$N$20&lt;0,0,1)</f>
        <v>1</v>
      </c>
      <c r="I353" s="92"/>
      <c r="J353" s="92">
        <f t="shared" si="37"/>
        <v>0</v>
      </c>
      <c r="K353" s="92"/>
      <c r="L353" s="88"/>
      <c r="N353" s="88">
        <v>349</v>
      </c>
      <c r="O353" s="92">
        <f t="shared" si="38"/>
        <v>5.8333333333333355E-2</v>
      </c>
      <c r="P353" s="92">
        <f>IF($Z$64&lt;S353+(S353*(('Atsipirkimo vertinimas'!$N$19)/12)),($Z$64*T353)+(Q353*U353),S353+(S353*(('Atsipirkimo vertinimas'!$N$19)/12)))</f>
        <v>0</v>
      </c>
      <c r="Q353" s="92">
        <f>IF(T353=0,0,S353*('Atsipirkimo vertinimas'!$N$19)/12)</f>
        <v>0</v>
      </c>
      <c r="R353" s="92">
        <f t="shared" si="40"/>
        <v>0</v>
      </c>
      <c r="S353" s="92">
        <f t="shared" si="41"/>
        <v>0</v>
      </c>
      <c r="T353">
        <f>IF(N353-'Atsipirkimo vertinimas'!$N$20&lt;0,0,1)</f>
        <v>1</v>
      </c>
      <c r="U353">
        <f>IF(N353-'Atsipirkimo vertinimas'!$N$20&gt;=0,0,1)</f>
        <v>0</v>
      </c>
      <c r="V353" s="92"/>
      <c r="W353" s="92"/>
      <c r="X353" s="88"/>
    </row>
    <row r="354" spans="3:24" x14ac:dyDescent="0.25">
      <c r="C354" s="88">
        <v>350</v>
      </c>
      <c r="D354" s="92">
        <f t="shared" si="36"/>
        <v>0.59386574074073606</v>
      </c>
      <c r="E354" s="92">
        <f>IF(H354=0,0,G354*('Atsipirkimo vertinimas'!$N$19)/12)</f>
        <v>-0.4366898148148195</v>
      </c>
      <c r="F354" s="92">
        <f>($G$4/('Atsipirkimo vertinimas'!$N$18*12-'Atsipirkimo vertinimas'!$N$20)*H354)</f>
        <v>0.97222222222222221</v>
      </c>
      <c r="G354" s="92">
        <f t="shared" si="39"/>
        <v>-106.94444444444558</v>
      </c>
      <c r="H354">
        <f>IF(C354-'Atsipirkimo vertinimas'!$N$20&lt;0,0,1)</f>
        <v>1</v>
      </c>
      <c r="I354" s="92"/>
      <c r="J354" s="92">
        <f t="shared" si="37"/>
        <v>0</v>
      </c>
      <c r="K354" s="92"/>
      <c r="L354" s="88"/>
      <c r="N354" s="88">
        <v>350</v>
      </c>
      <c r="O354" s="92">
        <f t="shared" si="38"/>
        <v>5.8333333333333355E-2</v>
      </c>
      <c r="P354" s="92">
        <f>IF($Z$64&lt;S354+(S354*(('Atsipirkimo vertinimas'!$N$19)/12)),($Z$64*T354)+(Q354*U354),S354+(S354*(('Atsipirkimo vertinimas'!$N$19)/12)))</f>
        <v>0</v>
      </c>
      <c r="Q354" s="92">
        <f>IF(T354=0,0,S354*('Atsipirkimo vertinimas'!$N$19)/12)</f>
        <v>0</v>
      </c>
      <c r="R354" s="92">
        <f t="shared" si="40"/>
        <v>0</v>
      </c>
      <c r="S354" s="92">
        <f t="shared" si="41"/>
        <v>0</v>
      </c>
      <c r="T354">
        <f>IF(N354-'Atsipirkimo vertinimas'!$N$20&lt;0,0,1)</f>
        <v>1</v>
      </c>
      <c r="U354">
        <f>IF(N354-'Atsipirkimo vertinimas'!$N$20&gt;=0,0,1)</f>
        <v>0</v>
      </c>
      <c r="V354" s="92"/>
      <c r="W354" s="92"/>
      <c r="X354" s="88"/>
    </row>
    <row r="355" spans="3:24" x14ac:dyDescent="0.25">
      <c r="C355" s="88">
        <v>351</v>
      </c>
      <c r="D355" s="92">
        <f t="shared" si="36"/>
        <v>0.58989583333332862</v>
      </c>
      <c r="E355" s="92">
        <f>IF(H355=0,0,G355*('Atsipirkimo vertinimas'!$N$19)/12)</f>
        <v>-0.44065972222222688</v>
      </c>
      <c r="F355" s="92">
        <f>($G$4/('Atsipirkimo vertinimas'!$N$18*12-'Atsipirkimo vertinimas'!$N$20)*H355)</f>
        <v>0.97222222222222221</v>
      </c>
      <c r="G355" s="92">
        <f t="shared" si="39"/>
        <v>-107.91666666666781</v>
      </c>
      <c r="H355">
        <f>IF(C355-'Atsipirkimo vertinimas'!$N$20&lt;0,0,1)</f>
        <v>1</v>
      </c>
      <c r="I355" s="92"/>
      <c r="J355" s="92">
        <f t="shared" si="37"/>
        <v>0</v>
      </c>
      <c r="K355" s="92"/>
      <c r="L355" s="88"/>
      <c r="N355" s="88">
        <v>351</v>
      </c>
      <c r="O355" s="92">
        <f t="shared" si="38"/>
        <v>5.8333333333333355E-2</v>
      </c>
      <c r="P355" s="92">
        <f>IF($Z$64&lt;S355+(S355*(('Atsipirkimo vertinimas'!$N$19)/12)),($Z$64*T355)+(Q355*U355),S355+(S355*(('Atsipirkimo vertinimas'!$N$19)/12)))</f>
        <v>0</v>
      </c>
      <c r="Q355" s="92">
        <f>IF(T355=0,0,S355*('Atsipirkimo vertinimas'!$N$19)/12)</f>
        <v>0</v>
      </c>
      <c r="R355" s="92">
        <f t="shared" si="40"/>
        <v>0</v>
      </c>
      <c r="S355" s="92">
        <f t="shared" si="41"/>
        <v>0</v>
      </c>
      <c r="T355">
        <f>IF(N355-'Atsipirkimo vertinimas'!$N$20&lt;0,0,1)</f>
        <v>1</v>
      </c>
      <c r="U355">
        <f>IF(N355-'Atsipirkimo vertinimas'!$N$20&gt;=0,0,1)</f>
        <v>0</v>
      </c>
      <c r="V355" s="92"/>
      <c r="W355" s="92"/>
      <c r="X355" s="88"/>
    </row>
    <row r="356" spans="3:24" x14ac:dyDescent="0.25">
      <c r="C356" s="88">
        <v>352</v>
      </c>
      <c r="D356" s="92">
        <f t="shared" si="36"/>
        <v>0.58592592592592119</v>
      </c>
      <c r="E356" s="92">
        <f>IF(H356=0,0,G356*('Atsipirkimo vertinimas'!$N$19)/12)</f>
        <v>-0.44462962962963437</v>
      </c>
      <c r="F356" s="92">
        <f>($G$4/('Atsipirkimo vertinimas'!$N$18*12-'Atsipirkimo vertinimas'!$N$20)*H356)</f>
        <v>0.97222222222222221</v>
      </c>
      <c r="G356" s="92">
        <f t="shared" si="39"/>
        <v>-108.88888888889004</v>
      </c>
      <c r="H356">
        <f>IF(C356-'Atsipirkimo vertinimas'!$N$20&lt;0,0,1)</f>
        <v>1</v>
      </c>
      <c r="I356" s="92"/>
      <c r="J356" s="92">
        <f t="shared" si="37"/>
        <v>0</v>
      </c>
      <c r="K356" s="92"/>
      <c r="L356" s="88"/>
      <c r="N356" s="88">
        <v>352</v>
      </c>
      <c r="O356" s="92">
        <f t="shared" si="38"/>
        <v>5.8333333333333355E-2</v>
      </c>
      <c r="P356" s="92">
        <f>IF($Z$64&lt;S356+(S356*(('Atsipirkimo vertinimas'!$N$19)/12)),($Z$64*T356)+(Q356*U356),S356+(S356*(('Atsipirkimo vertinimas'!$N$19)/12)))</f>
        <v>0</v>
      </c>
      <c r="Q356" s="92">
        <f>IF(T356=0,0,S356*('Atsipirkimo vertinimas'!$N$19)/12)</f>
        <v>0</v>
      </c>
      <c r="R356" s="92">
        <f t="shared" si="40"/>
        <v>0</v>
      </c>
      <c r="S356" s="92">
        <f t="shared" si="41"/>
        <v>0</v>
      </c>
      <c r="T356">
        <f>IF(N356-'Atsipirkimo vertinimas'!$N$20&lt;0,0,1)</f>
        <v>1</v>
      </c>
      <c r="U356">
        <f>IF(N356-'Atsipirkimo vertinimas'!$N$20&gt;=0,0,1)</f>
        <v>0</v>
      </c>
      <c r="V356" s="92"/>
      <c r="W356" s="92"/>
      <c r="X356" s="88"/>
    </row>
    <row r="357" spans="3:24" x14ac:dyDescent="0.25">
      <c r="C357" s="88">
        <v>353</v>
      </c>
      <c r="D357" s="92">
        <f t="shared" si="36"/>
        <v>0.58195601851851375</v>
      </c>
      <c r="E357" s="92">
        <f>IF(H357=0,0,G357*('Atsipirkimo vertinimas'!$N$19)/12)</f>
        <v>-0.44859953703704175</v>
      </c>
      <c r="F357" s="92">
        <f>($G$4/('Atsipirkimo vertinimas'!$N$18*12-'Atsipirkimo vertinimas'!$N$20)*H357)</f>
        <v>0.97222222222222221</v>
      </c>
      <c r="G357" s="92">
        <f t="shared" si="39"/>
        <v>-109.86111111111227</v>
      </c>
      <c r="H357">
        <f>IF(C357-'Atsipirkimo vertinimas'!$N$20&lt;0,0,1)</f>
        <v>1</v>
      </c>
      <c r="I357" s="92"/>
      <c r="J357" s="92">
        <f t="shared" si="37"/>
        <v>0</v>
      </c>
      <c r="K357" s="92"/>
      <c r="L357" s="88"/>
      <c r="N357" s="88">
        <v>353</v>
      </c>
      <c r="O357" s="92">
        <f t="shared" si="38"/>
        <v>5.8333333333333355E-2</v>
      </c>
      <c r="P357" s="92">
        <f>IF($Z$64&lt;S357+(S357*(('Atsipirkimo vertinimas'!$N$19)/12)),($Z$64*T357)+(Q357*U357),S357+(S357*(('Atsipirkimo vertinimas'!$N$19)/12)))</f>
        <v>0</v>
      </c>
      <c r="Q357" s="92">
        <f>IF(T357=0,0,S357*('Atsipirkimo vertinimas'!$N$19)/12)</f>
        <v>0</v>
      </c>
      <c r="R357" s="92">
        <f t="shared" si="40"/>
        <v>0</v>
      </c>
      <c r="S357" s="92">
        <f t="shared" si="41"/>
        <v>0</v>
      </c>
      <c r="T357">
        <f>IF(N357-'Atsipirkimo vertinimas'!$N$20&lt;0,0,1)</f>
        <v>1</v>
      </c>
      <c r="U357">
        <f>IF(N357-'Atsipirkimo vertinimas'!$N$20&gt;=0,0,1)</f>
        <v>0</v>
      </c>
      <c r="V357" s="92"/>
      <c r="W357" s="92"/>
      <c r="X357" s="88"/>
    </row>
    <row r="358" spans="3:24" x14ac:dyDescent="0.25">
      <c r="C358" s="88">
        <v>354</v>
      </c>
      <c r="D358" s="92">
        <f t="shared" si="36"/>
        <v>0.57798611111110643</v>
      </c>
      <c r="E358" s="92">
        <f>IF(H358=0,0,G358*('Atsipirkimo vertinimas'!$N$19)/12)</f>
        <v>-0.45256944444444919</v>
      </c>
      <c r="F358" s="92">
        <f>($G$4/('Atsipirkimo vertinimas'!$N$18*12-'Atsipirkimo vertinimas'!$N$20)*H358)</f>
        <v>0.97222222222222221</v>
      </c>
      <c r="G358" s="92">
        <f t="shared" si="39"/>
        <v>-110.83333333333449</v>
      </c>
      <c r="H358">
        <f>IF(C358-'Atsipirkimo vertinimas'!$N$20&lt;0,0,1)</f>
        <v>1</v>
      </c>
      <c r="I358" s="92"/>
      <c r="J358" s="92">
        <f t="shared" si="37"/>
        <v>0</v>
      </c>
      <c r="K358" s="92"/>
      <c r="L358" s="88"/>
      <c r="N358" s="88">
        <v>354</v>
      </c>
      <c r="O358" s="92">
        <f t="shared" si="38"/>
        <v>5.8333333333333355E-2</v>
      </c>
      <c r="P358" s="92">
        <f>IF($Z$64&lt;S358+(S358*(('Atsipirkimo vertinimas'!$N$19)/12)),($Z$64*T358)+(Q358*U358),S358+(S358*(('Atsipirkimo vertinimas'!$N$19)/12)))</f>
        <v>0</v>
      </c>
      <c r="Q358" s="92">
        <f>IF(T358=0,0,S358*('Atsipirkimo vertinimas'!$N$19)/12)</f>
        <v>0</v>
      </c>
      <c r="R358" s="92">
        <f t="shared" si="40"/>
        <v>0</v>
      </c>
      <c r="S358" s="92">
        <f t="shared" si="41"/>
        <v>0</v>
      </c>
      <c r="T358">
        <f>IF(N358-'Atsipirkimo vertinimas'!$N$20&lt;0,0,1)</f>
        <v>1</v>
      </c>
      <c r="U358">
        <f>IF(N358-'Atsipirkimo vertinimas'!$N$20&gt;=0,0,1)</f>
        <v>0</v>
      </c>
      <c r="V358" s="92"/>
      <c r="W358" s="92"/>
      <c r="X358" s="88"/>
    </row>
    <row r="359" spans="3:24" x14ac:dyDescent="0.25">
      <c r="C359" s="88">
        <v>355</v>
      </c>
      <c r="D359" s="92">
        <f t="shared" si="36"/>
        <v>0.57401620370369888</v>
      </c>
      <c r="E359" s="92">
        <f>IF(H359=0,0,G359*('Atsipirkimo vertinimas'!$N$19)/12)</f>
        <v>-0.45653935185185662</v>
      </c>
      <c r="F359" s="92">
        <f>($G$4/('Atsipirkimo vertinimas'!$N$18*12-'Atsipirkimo vertinimas'!$N$20)*H359)</f>
        <v>0.97222222222222221</v>
      </c>
      <c r="G359" s="92">
        <f t="shared" si="39"/>
        <v>-111.80555555555672</v>
      </c>
      <c r="H359">
        <f>IF(C359-'Atsipirkimo vertinimas'!$N$20&lt;0,0,1)</f>
        <v>1</v>
      </c>
      <c r="I359" s="92"/>
      <c r="J359" s="92">
        <f t="shared" si="37"/>
        <v>0</v>
      </c>
      <c r="K359" s="92"/>
      <c r="L359" s="88"/>
      <c r="N359" s="88">
        <v>355</v>
      </c>
      <c r="O359" s="92">
        <f t="shared" si="38"/>
        <v>5.8333333333333355E-2</v>
      </c>
      <c r="P359" s="92">
        <f>IF($Z$64&lt;S359+(S359*(('Atsipirkimo vertinimas'!$N$19)/12)),($Z$64*T359)+(Q359*U359),S359+(S359*(('Atsipirkimo vertinimas'!$N$19)/12)))</f>
        <v>0</v>
      </c>
      <c r="Q359" s="92">
        <f>IF(T359=0,0,S359*('Atsipirkimo vertinimas'!$N$19)/12)</f>
        <v>0</v>
      </c>
      <c r="R359" s="92">
        <f t="shared" si="40"/>
        <v>0</v>
      </c>
      <c r="S359" s="92">
        <f t="shared" si="41"/>
        <v>0</v>
      </c>
      <c r="T359">
        <f>IF(N359-'Atsipirkimo vertinimas'!$N$20&lt;0,0,1)</f>
        <v>1</v>
      </c>
      <c r="U359">
        <f>IF(N359-'Atsipirkimo vertinimas'!$N$20&gt;=0,0,1)</f>
        <v>0</v>
      </c>
      <c r="V359" s="92"/>
      <c r="W359" s="92"/>
      <c r="X359" s="88"/>
    </row>
    <row r="360" spans="3:24" x14ac:dyDescent="0.25">
      <c r="C360" s="88">
        <v>356</v>
      </c>
      <c r="D360" s="92">
        <f t="shared" si="36"/>
        <v>0.57004629629629155</v>
      </c>
      <c r="E360" s="92">
        <f>IF(H360=0,0,G360*('Atsipirkimo vertinimas'!$N$19)/12)</f>
        <v>-0.46050925925926406</v>
      </c>
      <c r="F360" s="92">
        <f>($G$4/('Atsipirkimo vertinimas'!$N$18*12-'Atsipirkimo vertinimas'!$N$20)*H360)</f>
        <v>0.97222222222222221</v>
      </c>
      <c r="G360" s="92">
        <f t="shared" si="39"/>
        <v>-112.77777777777895</v>
      </c>
      <c r="H360">
        <f>IF(C360-'Atsipirkimo vertinimas'!$N$20&lt;0,0,1)</f>
        <v>1</v>
      </c>
      <c r="I360" s="92"/>
      <c r="J360" s="92">
        <f t="shared" si="37"/>
        <v>0</v>
      </c>
      <c r="K360" s="92"/>
      <c r="L360" s="88"/>
      <c r="N360" s="88">
        <v>356</v>
      </c>
      <c r="O360" s="92">
        <f t="shared" si="38"/>
        <v>5.8333333333333355E-2</v>
      </c>
      <c r="P360" s="92">
        <f>IF($Z$64&lt;S360+(S360*(('Atsipirkimo vertinimas'!$N$19)/12)),($Z$64*T360)+(Q360*U360),S360+(S360*(('Atsipirkimo vertinimas'!$N$19)/12)))</f>
        <v>0</v>
      </c>
      <c r="Q360" s="92">
        <f>IF(T360=0,0,S360*('Atsipirkimo vertinimas'!$N$19)/12)</f>
        <v>0</v>
      </c>
      <c r="R360" s="92">
        <f t="shared" si="40"/>
        <v>0</v>
      </c>
      <c r="S360" s="92">
        <f t="shared" si="41"/>
        <v>0</v>
      </c>
      <c r="T360">
        <f>IF(N360-'Atsipirkimo vertinimas'!$N$20&lt;0,0,1)</f>
        <v>1</v>
      </c>
      <c r="U360">
        <f>IF(N360-'Atsipirkimo vertinimas'!$N$20&gt;=0,0,1)</f>
        <v>0</v>
      </c>
      <c r="V360" s="92"/>
      <c r="W360" s="92"/>
      <c r="X360" s="88"/>
    </row>
    <row r="361" spans="3:24" x14ac:dyDescent="0.25">
      <c r="C361" s="88">
        <v>357</v>
      </c>
      <c r="D361" s="92">
        <f t="shared" si="36"/>
        <v>0.56607638888888401</v>
      </c>
      <c r="E361" s="92">
        <f>IF(H361=0,0,G361*('Atsipirkimo vertinimas'!$N$19)/12)</f>
        <v>-0.46447916666667149</v>
      </c>
      <c r="F361" s="92">
        <f>($G$4/('Atsipirkimo vertinimas'!$N$18*12-'Atsipirkimo vertinimas'!$N$20)*H361)</f>
        <v>0.97222222222222221</v>
      </c>
      <c r="G361" s="92">
        <f t="shared" si="39"/>
        <v>-113.75000000000118</v>
      </c>
      <c r="H361">
        <f>IF(C361-'Atsipirkimo vertinimas'!$N$20&lt;0,0,1)</f>
        <v>1</v>
      </c>
      <c r="I361" s="92"/>
      <c r="J361" s="92">
        <f t="shared" si="37"/>
        <v>0</v>
      </c>
      <c r="K361" s="92"/>
      <c r="L361" s="88"/>
      <c r="N361" s="88">
        <v>357</v>
      </c>
      <c r="O361" s="92">
        <f t="shared" si="38"/>
        <v>5.8333333333333355E-2</v>
      </c>
      <c r="P361" s="92">
        <f>IF($Z$64&lt;S361+(S361*(('Atsipirkimo vertinimas'!$N$19)/12)),($Z$64*T361)+(Q361*U361),S361+(S361*(('Atsipirkimo vertinimas'!$N$19)/12)))</f>
        <v>0</v>
      </c>
      <c r="Q361" s="92">
        <f>IF(T361=0,0,S361*('Atsipirkimo vertinimas'!$N$19)/12)</f>
        <v>0</v>
      </c>
      <c r="R361" s="92">
        <f t="shared" si="40"/>
        <v>0</v>
      </c>
      <c r="S361" s="92">
        <f t="shared" si="41"/>
        <v>0</v>
      </c>
      <c r="T361">
        <f>IF(N361-'Atsipirkimo vertinimas'!$N$20&lt;0,0,1)</f>
        <v>1</v>
      </c>
      <c r="U361">
        <f>IF(N361-'Atsipirkimo vertinimas'!$N$20&gt;=0,0,1)</f>
        <v>0</v>
      </c>
      <c r="V361" s="92"/>
      <c r="W361" s="92"/>
      <c r="X361" s="88"/>
    </row>
    <row r="362" spans="3:24" x14ac:dyDescent="0.25">
      <c r="C362" s="88">
        <v>358</v>
      </c>
      <c r="D362" s="92">
        <f t="shared" si="36"/>
        <v>0.56210648148147668</v>
      </c>
      <c r="E362" s="92">
        <f>IF(H362=0,0,G362*('Atsipirkimo vertinimas'!$N$19)/12)</f>
        <v>-0.46844907407407893</v>
      </c>
      <c r="F362" s="92">
        <f>($G$4/('Atsipirkimo vertinimas'!$N$18*12-'Atsipirkimo vertinimas'!$N$20)*H362)</f>
        <v>0.97222222222222221</v>
      </c>
      <c r="G362" s="92">
        <f t="shared" si="39"/>
        <v>-114.72222222222341</v>
      </c>
      <c r="H362">
        <f>IF(C362-'Atsipirkimo vertinimas'!$N$20&lt;0,0,1)</f>
        <v>1</v>
      </c>
      <c r="I362" s="92"/>
      <c r="J362" s="92">
        <f t="shared" si="37"/>
        <v>0</v>
      </c>
      <c r="K362" s="92"/>
      <c r="L362" s="88"/>
      <c r="N362" s="88">
        <v>358</v>
      </c>
      <c r="O362" s="92">
        <f t="shared" si="38"/>
        <v>5.8333333333333355E-2</v>
      </c>
      <c r="P362" s="92">
        <f>IF($Z$64&lt;S362+(S362*(('Atsipirkimo vertinimas'!$N$19)/12)),($Z$64*T362)+(Q362*U362),S362+(S362*(('Atsipirkimo vertinimas'!$N$19)/12)))</f>
        <v>0</v>
      </c>
      <c r="Q362" s="92">
        <f>IF(T362=0,0,S362*('Atsipirkimo vertinimas'!$N$19)/12)</f>
        <v>0</v>
      </c>
      <c r="R362" s="92">
        <f t="shared" si="40"/>
        <v>0</v>
      </c>
      <c r="S362" s="92">
        <f t="shared" si="41"/>
        <v>0</v>
      </c>
      <c r="T362">
        <f>IF(N362-'Atsipirkimo vertinimas'!$N$20&lt;0,0,1)</f>
        <v>1</v>
      </c>
      <c r="U362">
        <f>IF(N362-'Atsipirkimo vertinimas'!$N$20&gt;=0,0,1)</f>
        <v>0</v>
      </c>
      <c r="V362" s="92"/>
      <c r="W362" s="92"/>
      <c r="X362" s="88"/>
    </row>
    <row r="363" spans="3:24" x14ac:dyDescent="0.25">
      <c r="C363" s="88">
        <v>359</v>
      </c>
      <c r="D363" s="92">
        <f t="shared" si="36"/>
        <v>0.55813657407406925</v>
      </c>
      <c r="E363" s="92">
        <f>IF(H363=0,0,G363*('Atsipirkimo vertinimas'!$N$19)/12)</f>
        <v>-0.47241898148148637</v>
      </c>
      <c r="F363" s="92">
        <f>($G$4/('Atsipirkimo vertinimas'!$N$18*12-'Atsipirkimo vertinimas'!$N$20)*H363)</f>
        <v>0.97222222222222221</v>
      </c>
      <c r="G363" s="92">
        <f t="shared" si="39"/>
        <v>-115.69444444444564</v>
      </c>
      <c r="H363">
        <f>IF(C363-'Atsipirkimo vertinimas'!$N$20&lt;0,0,1)</f>
        <v>1</v>
      </c>
      <c r="I363" s="92"/>
      <c r="J363" s="92">
        <f t="shared" si="37"/>
        <v>0</v>
      </c>
      <c r="K363" s="92"/>
      <c r="L363" s="91">
        <f>IF('Atsipirkimo vertinimas'!$N$18*12&gt;Grafikas!C363,SUM(D352:D363),0)</f>
        <v>0</v>
      </c>
      <c r="N363" s="88">
        <v>359</v>
      </c>
      <c r="O363" s="92">
        <f t="shared" si="38"/>
        <v>5.8333333333333355E-2</v>
      </c>
      <c r="P363" s="92">
        <f>IF($Z$64&lt;S363+(S363*(('Atsipirkimo vertinimas'!$N$19)/12)),($Z$64*T363)+(Q363*U363),S363+(S363*(('Atsipirkimo vertinimas'!$N$19)/12)))</f>
        <v>0</v>
      </c>
      <c r="Q363" s="92">
        <f>IF(T363=0,0,S363*('Atsipirkimo vertinimas'!$N$19)/12)</f>
        <v>0</v>
      </c>
      <c r="R363" s="92">
        <f t="shared" si="40"/>
        <v>0</v>
      </c>
      <c r="S363" s="92">
        <f t="shared" si="41"/>
        <v>0</v>
      </c>
      <c r="T363">
        <f>IF(N363-'Atsipirkimo vertinimas'!$N$20&lt;0,0,1)</f>
        <v>1</v>
      </c>
      <c r="U363">
        <f>IF(N363-'Atsipirkimo vertinimas'!$N$20&gt;=0,0,1)</f>
        <v>0</v>
      </c>
      <c r="V363" s="92"/>
      <c r="W363" s="92"/>
      <c r="X363" s="91">
        <f>IF('Atsipirkimo vertinimas'!$N$18*12&gt;Grafikas!C363,SUM(O352:O363),0)</f>
        <v>0</v>
      </c>
    </row>
    <row r="364" spans="3:24" x14ac:dyDescent="0.25">
      <c r="C364" s="88">
        <v>360</v>
      </c>
      <c r="D364" s="92">
        <f t="shared" si="36"/>
        <v>0.55416666666666181</v>
      </c>
      <c r="E364" s="92">
        <f>IF(H364=0,0,G364*('Atsipirkimo vertinimas'!$N$19)/12)</f>
        <v>-0.4763888888888938</v>
      </c>
      <c r="F364" s="92">
        <f>($G$4/('Atsipirkimo vertinimas'!$N$18*12-'Atsipirkimo vertinimas'!$N$20)*H364)</f>
        <v>0.97222222222222221</v>
      </c>
      <c r="G364" s="92">
        <f t="shared" si="39"/>
        <v>-116.66666666666787</v>
      </c>
      <c r="H364">
        <f>IF(C364-'Atsipirkimo vertinimas'!$N$20&lt;0,0,1)</f>
        <v>1</v>
      </c>
      <c r="I364" s="92"/>
      <c r="J364" s="92">
        <f t="shared" si="37"/>
        <v>0</v>
      </c>
      <c r="K364" s="92"/>
      <c r="L364" s="88"/>
      <c r="N364" s="88">
        <v>360</v>
      </c>
      <c r="O364" s="92">
        <f t="shared" si="38"/>
        <v>5.8333333333333355E-2</v>
      </c>
      <c r="P364" s="92">
        <f>IF($Z$64&lt;S364+(S364*(('Atsipirkimo vertinimas'!$N$19)/12)),($Z$64*T364)+(Q364*U364),S364+(S364*(('Atsipirkimo vertinimas'!$N$19)/12)))</f>
        <v>0</v>
      </c>
      <c r="Q364" s="92">
        <f>IF(T364=0,0,S364*('Atsipirkimo vertinimas'!$N$19)/12)</f>
        <v>0</v>
      </c>
      <c r="R364" s="92">
        <f t="shared" si="40"/>
        <v>0</v>
      </c>
      <c r="S364" s="92">
        <f t="shared" si="41"/>
        <v>0</v>
      </c>
      <c r="T364">
        <f>IF(N364-'Atsipirkimo vertinimas'!$N$20&lt;0,0,1)</f>
        <v>1</v>
      </c>
      <c r="U364">
        <f>IF(N364-'Atsipirkimo vertinimas'!$N$20&gt;=0,0,1)</f>
        <v>0</v>
      </c>
      <c r="V364" s="92"/>
      <c r="W364" s="92"/>
      <c r="X364" s="88"/>
    </row>
    <row r="365" spans="3:24" x14ac:dyDescent="0.25">
      <c r="C365" s="88">
        <v>361</v>
      </c>
      <c r="D365" s="92">
        <f t="shared" si="36"/>
        <v>0.55019675925925438</v>
      </c>
      <c r="E365" s="92">
        <f>IF(H365=0,0,G365*('Atsipirkimo vertinimas'!$N$19)/12)</f>
        <v>-0.48035879629630124</v>
      </c>
      <c r="F365" s="92">
        <f>($G$4/('Atsipirkimo vertinimas'!$N$18*12-'Atsipirkimo vertinimas'!$N$20)*H365)</f>
        <v>0.97222222222222221</v>
      </c>
      <c r="G365" s="92">
        <f t="shared" si="39"/>
        <v>-117.63888888889009</v>
      </c>
      <c r="H365">
        <f>IF(C365-'Atsipirkimo vertinimas'!$N$20&lt;0,0,1)</f>
        <v>1</v>
      </c>
      <c r="I365" s="92"/>
      <c r="J365" s="92">
        <f t="shared" si="37"/>
        <v>0</v>
      </c>
      <c r="K365" s="92"/>
      <c r="L365" s="88"/>
      <c r="N365" s="88">
        <v>361</v>
      </c>
      <c r="O365" s="92">
        <f t="shared" si="38"/>
        <v>5.8333333333333355E-2</v>
      </c>
      <c r="P365" s="92">
        <f>IF($Z$64&lt;S365+(S365*(('Atsipirkimo vertinimas'!$N$19)/12)),($Z$64*T365)+(Q365*U365),S365+(S365*(('Atsipirkimo vertinimas'!$N$19)/12)))</f>
        <v>0</v>
      </c>
      <c r="Q365" s="92">
        <f>IF(T365=0,0,S365*('Atsipirkimo vertinimas'!$N$19)/12)</f>
        <v>0</v>
      </c>
      <c r="R365" s="92">
        <f t="shared" si="40"/>
        <v>0</v>
      </c>
      <c r="S365" s="92">
        <f t="shared" si="41"/>
        <v>0</v>
      </c>
      <c r="T365">
        <f>IF(N365-'Atsipirkimo vertinimas'!$N$20&lt;0,0,1)</f>
        <v>1</v>
      </c>
      <c r="U365">
        <f>IF(N365-'Atsipirkimo vertinimas'!$N$20&gt;=0,0,1)</f>
        <v>0</v>
      </c>
      <c r="V365" s="92"/>
      <c r="W365" s="92"/>
      <c r="X365" s="88"/>
    </row>
    <row r="366" spans="3:24" x14ac:dyDescent="0.25">
      <c r="C366" s="88">
        <v>362</v>
      </c>
      <c r="D366" s="92">
        <f t="shared" si="36"/>
        <v>0.54622685185184694</v>
      </c>
      <c r="E366" s="92">
        <f>IF(H366=0,0,G366*('Atsipirkimo vertinimas'!$N$19)/12)</f>
        <v>-0.48432870370370867</v>
      </c>
      <c r="F366" s="92">
        <f>($G$4/('Atsipirkimo vertinimas'!$N$18*12-'Atsipirkimo vertinimas'!$N$20)*H366)</f>
        <v>0.97222222222222221</v>
      </c>
      <c r="G366" s="92">
        <f t="shared" si="39"/>
        <v>-118.61111111111232</v>
      </c>
      <c r="H366">
        <f>IF(C366-'Atsipirkimo vertinimas'!$N$20&lt;0,0,1)</f>
        <v>1</v>
      </c>
      <c r="I366" s="92"/>
      <c r="J366" s="92">
        <f t="shared" si="37"/>
        <v>0</v>
      </c>
      <c r="K366" s="92"/>
      <c r="L366" s="88"/>
      <c r="N366" s="88">
        <v>362</v>
      </c>
      <c r="O366" s="92">
        <f t="shared" si="38"/>
        <v>5.8333333333333355E-2</v>
      </c>
      <c r="P366" s="92">
        <f>IF($Z$64&lt;S366+(S366*(('Atsipirkimo vertinimas'!$N$19)/12)),($Z$64*T366)+(Q366*U366),S366+(S366*(('Atsipirkimo vertinimas'!$N$19)/12)))</f>
        <v>0</v>
      </c>
      <c r="Q366" s="92">
        <f>IF(T366=0,0,S366*('Atsipirkimo vertinimas'!$N$19)/12)</f>
        <v>0</v>
      </c>
      <c r="R366" s="92">
        <f t="shared" si="40"/>
        <v>0</v>
      </c>
      <c r="S366" s="92">
        <f t="shared" si="41"/>
        <v>0</v>
      </c>
      <c r="T366">
        <f>IF(N366-'Atsipirkimo vertinimas'!$N$20&lt;0,0,1)</f>
        <v>1</v>
      </c>
      <c r="U366">
        <f>IF(N366-'Atsipirkimo vertinimas'!$N$20&gt;=0,0,1)</f>
        <v>0</v>
      </c>
      <c r="V366" s="92"/>
      <c r="W366" s="92"/>
      <c r="X366" s="88"/>
    </row>
    <row r="367" spans="3:24" x14ac:dyDescent="0.25">
      <c r="C367" s="88">
        <v>363</v>
      </c>
      <c r="D367" s="92">
        <f t="shared" si="36"/>
        <v>0.5422569444444395</v>
      </c>
      <c r="E367" s="92">
        <f>IF(H367=0,0,G367*('Atsipirkimo vertinimas'!$N$19)/12)</f>
        <v>-0.48829861111111611</v>
      </c>
      <c r="F367" s="92">
        <f>($G$4/('Atsipirkimo vertinimas'!$N$18*12-'Atsipirkimo vertinimas'!$N$20)*H367)</f>
        <v>0.97222222222222221</v>
      </c>
      <c r="G367" s="92">
        <f t="shared" si="39"/>
        <v>-119.58333333333455</v>
      </c>
      <c r="H367">
        <f>IF(C367-'Atsipirkimo vertinimas'!$N$20&lt;0,0,1)</f>
        <v>1</v>
      </c>
      <c r="I367" s="92"/>
      <c r="J367" s="92">
        <f t="shared" si="37"/>
        <v>0</v>
      </c>
      <c r="K367" s="92"/>
      <c r="L367" s="88"/>
      <c r="N367" s="88">
        <v>363</v>
      </c>
      <c r="O367" s="92">
        <f t="shared" si="38"/>
        <v>5.8333333333333355E-2</v>
      </c>
      <c r="P367" s="92">
        <f>IF($Z$64&lt;S367+(S367*(('Atsipirkimo vertinimas'!$N$19)/12)),($Z$64*T367)+(Q367*U367),S367+(S367*(('Atsipirkimo vertinimas'!$N$19)/12)))</f>
        <v>0</v>
      </c>
      <c r="Q367" s="92">
        <f>IF(T367=0,0,S367*('Atsipirkimo vertinimas'!$N$19)/12)</f>
        <v>0</v>
      </c>
      <c r="R367" s="92">
        <f t="shared" si="40"/>
        <v>0</v>
      </c>
      <c r="S367" s="92">
        <f t="shared" si="41"/>
        <v>0</v>
      </c>
      <c r="T367">
        <f>IF(N367-'Atsipirkimo vertinimas'!$N$20&lt;0,0,1)</f>
        <v>1</v>
      </c>
      <c r="U367">
        <f>IF(N367-'Atsipirkimo vertinimas'!$N$20&gt;=0,0,1)</f>
        <v>0</v>
      </c>
      <c r="V367" s="92"/>
      <c r="W367" s="92"/>
      <c r="X367" s="88"/>
    </row>
    <row r="368" spans="3:24" x14ac:dyDescent="0.25">
      <c r="C368" s="88">
        <v>364</v>
      </c>
      <c r="D368" s="92">
        <f t="shared" si="36"/>
        <v>0.53828703703703207</v>
      </c>
      <c r="E368" s="92">
        <f>IF(H368=0,0,G368*('Atsipirkimo vertinimas'!$N$19)/12)</f>
        <v>-0.49226851851852355</v>
      </c>
      <c r="F368" s="92">
        <f>($G$4/('Atsipirkimo vertinimas'!$N$18*12-'Atsipirkimo vertinimas'!$N$20)*H368)</f>
        <v>0.97222222222222221</v>
      </c>
      <c r="G368" s="92">
        <f t="shared" si="39"/>
        <v>-120.55555555555678</v>
      </c>
      <c r="H368">
        <f>IF(C368-'Atsipirkimo vertinimas'!$N$20&lt;0,0,1)</f>
        <v>1</v>
      </c>
      <c r="I368" s="92"/>
      <c r="J368" s="92">
        <f t="shared" si="37"/>
        <v>0</v>
      </c>
      <c r="K368" s="92"/>
      <c r="L368" s="88"/>
      <c r="N368" s="88">
        <v>364</v>
      </c>
      <c r="O368" s="92">
        <f t="shared" si="38"/>
        <v>5.8333333333333355E-2</v>
      </c>
      <c r="P368" s="92">
        <f>IF($Z$64&lt;S368+(S368*(('Atsipirkimo vertinimas'!$N$19)/12)),($Z$64*T368)+(Q368*U368),S368+(S368*(('Atsipirkimo vertinimas'!$N$19)/12)))</f>
        <v>0</v>
      </c>
      <c r="Q368" s="92">
        <f>IF(T368=0,0,S368*('Atsipirkimo vertinimas'!$N$19)/12)</f>
        <v>0</v>
      </c>
      <c r="R368" s="92">
        <f t="shared" si="40"/>
        <v>0</v>
      </c>
      <c r="S368" s="92">
        <f t="shared" si="41"/>
        <v>0</v>
      </c>
      <c r="T368">
        <f>IF(N368-'Atsipirkimo vertinimas'!$N$20&lt;0,0,1)</f>
        <v>1</v>
      </c>
      <c r="U368">
        <f>IF(N368-'Atsipirkimo vertinimas'!$N$20&gt;=0,0,1)</f>
        <v>0</v>
      </c>
      <c r="V368" s="92"/>
      <c r="W368" s="92"/>
      <c r="X368" s="88"/>
    </row>
    <row r="369" spans="3:24" x14ac:dyDescent="0.25">
      <c r="C369" s="88">
        <v>365</v>
      </c>
      <c r="D369" s="92">
        <f t="shared" si="36"/>
        <v>0.53431712962962463</v>
      </c>
      <c r="E369" s="92">
        <f>IF(H369=0,0,G369*('Atsipirkimo vertinimas'!$N$19)/12)</f>
        <v>-0.49623842592593098</v>
      </c>
      <c r="F369" s="92">
        <f>($G$4/('Atsipirkimo vertinimas'!$N$18*12-'Atsipirkimo vertinimas'!$N$20)*H369)</f>
        <v>0.97222222222222221</v>
      </c>
      <c r="G369" s="92">
        <f t="shared" si="39"/>
        <v>-121.52777777777901</v>
      </c>
      <c r="H369">
        <f>IF(C369-'Atsipirkimo vertinimas'!$N$20&lt;0,0,1)</f>
        <v>1</v>
      </c>
      <c r="I369" s="92"/>
      <c r="J369" s="92">
        <f t="shared" si="37"/>
        <v>0</v>
      </c>
      <c r="K369" s="92"/>
      <c r="L369" s="88"/>
      <c r="N369" s="88">
        <v>365</v>
      </c>
      <c r="O369" s="92">
        <f t="shared" si="38"/>
        <v>5.8333333333333355E-2</v>
      </c>
      <c r="P369" s="92">
        <f>IF($Z$64&lt;S369+(S369*(('Atsipirkimo vertinimas'!$N$19)/12)),($Z$64*T369)+(Q369*U369),S369+(S369*(('Atsipirkimo vertinimas'!$N$19)/12)))</f>
        <v>0</v>
      </c>
      <c r="Q369" s="92">
        <f>IF(T369=0,0,S369*('Atsipirkimo vertinimas'!$N$19)/12)</f>
        <v>0</v>
      </c>
      <c r="R369" s="92">
        <f t="shared" si="40"/>
        <v>0</v>
      </c>
      <c r="S369" s="92">
        <f t="shared" si="41"/>
        <v>0</v>
      </c>
      <c r="T369">
        <f>IF(N369-'Atsipirkimo vertinimas'!$N$20&lt;0,0,1)</f>
        <v>1</v>
      </c>
      <c r="U369">
        <f>IF(N369-'Atsipirkimo vertinimas'!$N$20&gt;=0,0,1)</f>
        <v>0</v>
      </c>
      <c r="V369" s="92"/>
      <c r="W369" s="92"/>
      <c r="X369" s="88"/>
    </row>
    <row r="370" spans="3:24" x14ac:dyDescent="0.25">
      <c r="C370" s="88">
        <v>366</v>
      </c>
      <c r="D370" s="92">
        <f t="shared" si="36"/>
        <v>0.5303472222222172</v>
      </c>
      <c r="E370" s="92">
        <f>IF(H370=0,0,G370*('Atsipirkimo vertinimas'!$N$19)/12)</f>
        <v>-0.50020833333333836</v>
      </c>
      <c r="F370" s="92">
        <f>($G$4/('Atsipirkimo vertinimas'!$N$18*12-'Atsipirkimo vertinimas'!$N$20)*H370)</f>
        <v>0.97222222222222221</v>
      </c>
      <c r="G370" s="92">
        <f t="shared" si="39"/>
        <v>-122.50000000000124</v>
      </c>
      <c r="H370">
        <f>IF(C370-'Atsipirkimo vertinimas'!$N$20&lt;0,0,1)</f>
        <v>1</v>
      </c>
      <c r="I370" s="92"/>
      <c r="J370" s="92">
        <f t="shared" si="37"/>
        <v>0</v>
      </c>
      <c r="K370" s="92"/>
      <c r="L370" s="88"/>
      <c r="N370" s="88">
        <v>366</v>
      </c>
      <c r="O370" s="92">
        <f t="shared" si="38"/>
        <v>5.8333333333333355E-2</v>
      </c>
      <c r="P370" s="92">
        <f>IF($Z$64&lt;S370+(S370*(('Atsipirkimo vertinimas'!$N$19)/12)),($Z$64*T370)+(Q370*U370),S370+(S370*(('Atsipirkimo vertinimas'!$N$19)/12)))</f>
        <v>0</v>
      </c>
      <c r="Q370" s="92">
        <f>IF(T370=0,0,S370*('Atsipirkimo vertinimas'!$N$19)/12)</f>
        <v>0</v>
      </c>
      <c r="R370" s="92">
        <f t="shared" si="40"/>
        <v>0</v>
      </c>
      <c r="S370" s="92">
        <f t="shared" si="41"/>
        <v>0</v>
      </c>
      <c r="T370">
        <f>IF(N370-'Atsipirkimo vertinimas'!$N$20&lt;0,0,1)</f>
        <v>1</v>
      </c>
      <c r="U370">
        <f>IF(N370-'Atsipirkimo vertinimas'!$N$20&gt;=0,0,1)</f>
        <v>0</v>
      </c>
      <c r="V370" s="92"/>
      <c r="W370" s="92"/>
      <c r="X370" s="88"/>
    </row>
    <row r="371" spans="3:24" x14ac:dyDescent="0.25">
      <c r="C371" s="88">
        <v>367</v>
      </c>
      <c r="D371" s="92">
        <f t="shared" si="36"/>
        <v>0.52637731481480976</v>
      </c>
      <c r="E371" s="92">
        <f>IF(H371=0,0,G371*('Atsipirkimo vertinimas'!$N$19)/12)</f>
        <v>-0.5041782407407458</v>
      </c>
      <c r="F371" s="92">
        <f>($G$4/('Atsipirkimo vertinimas'!$N$18*12-'Atsipirkimo vertinimas'!$N$20)*H371)</f>
        <v>0.97222222222222221</v>
      </c>
      <c r="G371" s="92">
        <f t="shared" si="39"/>
        <v>-123.47222222222346</v>
      </c>
      <c r="H371">
        <f>IF(C371-'Atsipirkimo vertinimas'!$N$20&lt;0,0,1)</f>
        <v>1</v>
      </c>
      <c r="I371" s="92"/>
      <c r="J371" s="92">
        <f t="shared" si="37"/>
        <v>0</v>
      </c>
      <c r="K371" s="92"/>
      <c r="L371" s="88"/>
      <c r="N371" s="88">
        <v>367</v>
      </c>
      <c r="O371" s="92">
        <f t="shared" si="38"/>
        <v>5.8333333333333355E-2</v>
      </c>
      <c r="P371" s="92">
        <f>IF($Z$64&lt;S371+(S371*(('Atsipirkimo vertinimas'!$N$19)/12)),($Z$64*T371)+(Q371*U371),S371+(S371*(('Atsipirkimo vertinimas'!$N$19)/12)))</f>
        <v>0</v>
      </c>
      <c r="Q371" s="92">
        <f>IF(T371=0,0,S371*('Atsipirkimo vertinimas'!$N$19)/12)</f>
        <v>0</v>
      </c>
      <c r="R371" s="92">
        <f t="shared" si="40"/>
        <v>0</v>
      </c>
      <c r="S371" s="92">
        <f t="shared" si="41"/>
        <v>0</v>
      </c>
      <c r="T371">
        <f>IF(N371-'Atsipirkimo vertinimas'!$N$20&lt;0,0,1)</f>
        <v>1</v>
      </c>
      <c r="U371">
        <f>IF(N371-'Atsipirkimo vertinimas'!$N$20&gt;=0,0,1)</f>
        <v>0</v>
      </c>
      <c r="V371" s="92"/>
      <c r="W371" s="92"/>
      <c r="X371" s="88"/>
    </row>
    <row r="372" spans="3:24" x14ac:dyDescent="0.25">
      <c r="C372" s="88">
        <v>368</v>
      </c>
      <c r="D372" s="92">
        <f t="shared" si="36"/>
        <v>0.52240740740740232</v>
      </c>
      <c r="E372" s="92">
        <f>IF(H372=0,0,G372*('Atsipirkimo vertinimas'!$N$19)/12)</f>
        <v>-0.50814814814815323</v>
      </c>
      <c r="F372" s="92">
        <f>($G$4/('Atsipirkimo vertinimas'!$N$18*12-'Atsipirkimo vertinimas'!$N$20)*H372)</f>
        <v>0.97222222222222221</v>
      </c>
      <c r="G372" s="92">
        <f t="shared" si="39"/>
        <v>-124.44444444444569</v>
      </c>
      <c r="H372">
        <f>IF(C372-'Atsipirkimo vertinimas'!$N$20&lt;0,0,1)</f>
        <v>1</v>
      </c>
      <c r="I372" s="92"/>
      <c r="J372" s="92">
        <f t="shared" si="37"/>
        <v>0</v>
      </c>
      <c r="K372" s="92"/>
      <c r="L372" s="88"/>
      <c r="N372" s="88">
        <v>368</v>
      </c>
      <c r="O372" s="92">
        <f t="shared" si="38"/>
        <v>5.8333333333333355E-2</v>
      </c>
      <c r="P372" s="92">
        <f>IF($Z$64&lt;S372+(S372*(('Atsipirkimo vertinimas'!$N$19)/12)),($Z$64*T372)+(Q372*U372),S372+(S372*(('Atsipirkimo vertinimas'!$N$19)/12)))</f>
        <v>0</v>
      </c>
      <c r="Q372" s="92">
        <f>IF(T372=0,0,S372*('Atsipirkimo vertinimas'!$N$19)/12)</f>
        <v>0</v>
      </c>
      <c r="R372" s="92">
        <f t="shared" si="40"/>
        <v>0</v>
      </c>
      <c r="S372" s="92">
        <f t="shared" si="41"/>
        <v>0</v>
      </c>
      <c r="T372">
        <f>IF(N372-'Atsipirkimo vertinimas'!$N$20&lt;0,0,1)</f>
        <v>1</v>
      </c>
      <c r="U372">
        <f>IF(N372-'Atsipirkimo vertinimas'!$N$20&gt;=0,0,1)</f>
        <v>0</v>
      </c>
      <c r="V372" s="92"/>
      <c r="W372" s="92"/>
      <c r="X372" s="88"/>
    </row>
    <row r="373" spans="3:24" x14ac:dyDescent="0.25">
      <c r="C373" s="88">
        <v>369</v>
      </c>
      <c r="D373" s="92">
        <f t="shared" si="36"/>
        <v>0.51843749999999489</v>
      </c>
      <c r="E373" s="92">
        <f>IF(H373=0,0,G373*('Atsipirkimo vertinimas'!$N$19)/12)</f>
        <v>-0.51211805555556067</v>
      </c>
      <c r="F373" s="92">
        <f>($G$4/('Atsipirkimo vertinimas'!$N$18*12-'Atsipirkimo vertinimas'!$N$20)*H373)</f>
        <v>0.97222222222222221</v>
      </c>
      <c r="G373" s="92">
        <f t="shared" si="39"/>
        <v>-125.41666666666792</v>
      </c>
      <c r="H373">
        <f>IF(C373-'Atsipirkimo vertinimas'!$N$20&lt;0,0,1)</f>
        <v>1</v>
      </c>
      <c r="I373" s="92"/>
      <c r="J373" s="92">
        <f t="shared" si="37"/>
        <v>0</v>
      </c>
      <c r="K373" s="92"/>
      <c r="L373" s="88"/>
      <c r="N373" s="88">
        <v>369</v>
      </c>
      <c r="O373" s="92">
        <f t="shared" si="38"/>
        <v>5.8333333333333355E-2</v>
      </c>
      <c r="P373" s="92">
        <f>IF($Z$64&lt;S373+(S373*(('Atsipirkimo vertinimas'!$N$19)/12)),($Z$64*T373)+(Q373*U373),S373+(S373*(('Atsipirkimo vertinimas'!$N$19)/12)))</f>
        <v>0</v>
      </c>
      <c r="Q373" s="92">
        <f>IF(T373=0,0,S373*('Atsipirkimo vertinimas'!$N$19)/12)</f>
        <v>0</v>
      </c>
      <c r="R373" s="92">
        <f t="shared" si="40"/>
        <v>0</v>
      </c>
      <c r="S373" s="92">
        <f t="shared" si="41"/>
        <v>0</v>
      </c>
      <c r="T373">
        <f>IF(N373-'Atsipirkimo vertinimas'!$N$20&lt;0,0,1)</f>
        <v>1</v>
      </c>
      <c r="U373">
        <f>IF(N373-'Atsipirkimo vertinimas'!$N$20&gt;=0,0,1)</f>
        <v>0</v>
      </c>
      <c r="V373" s="92"/>
      <c r="W373" s="92"/>
      <c r="X373" s="88"/>
    </row>
    <row r="374" spans="3:24" x14ac:dyDescent="0.25">
      <c r="C374" s="88">
        <v>370</v>
      </c>
      <c r="D374" s="92">
        <f t="shared" si="36"/>
        <v>0.51446759259258745</v>
      </c>
      <c r="E374" s="92">
        <f>IF(H374=0,0,G374*('Atsipirkimo vertinimas'!$N$19)/12)</f>
        <v>-0.51608796296296811</v>
      </c>
      <c r="F374" s="92">
        <f>($G$4/('Atsipirkimo vertinimas'!$N$18*12-'Atsipirkimo vertinimas'!$N$20)*H374)</f>
        <v>0.97222222222222221</v>
      </c>
      <c r="G374" s="92">
        <f t="shared" si="39"/>
        <v>-126.38888888889015</v>
      </c>
      <c r="H374">
        <f>IF(C374-'Atsipirkimo vertinimas'!$N$20&lt;0,0,1)</f>
        <v>1</v>
      </c>
      <c r="I374" s="92"/>
      <c r="J374" s="92">
        <f t="shared" si="37"/>
        <v>0</v>
      </c>
      <c r="K374" s="92"/>
      <c r="L374" s="88"/>
      <c r="N374" s="88">
        <v>370</v>
      </c>
      <c r="O374" s="92">
        <f t="shared" si="38"/>
        <v>5.8333333333333355E-2</v>
      </c>
      <c r="P374" s="92">
        <f>IF($Z$64&lt;S374+(S374*(('Atsipirkimo vertinimas'!$N$19)/12)),($Z$64*T374)+(Q374*U374),S374+(S374*(('Atsipirkimo vertinimas'!$N$19)/12)))</f>
        <v>0</v>
      </c>
      <c r="Q374" s="92">
        <f>IF(T374=0,0,S374*('Atsipirkimo vertinimas'!$N$19)/12)</f>
        <v>0</v>
      </c>
      <c r="R374" s="92">
        <f t="shared" si="40"/>
        <v>0</v>
      </c>
      <c r="S374" s="92">
        <f t="shared" si="41"/>
        <v>0</v>
      </c>
      <c r="T374">
        <f>IF(N374-'Atsipirkimo vertinimas'!$N$20&lt;0,0,1)</f>
        <v>1</v>
      </c>
      <c r="U374">
        <f>IF(N374-'Atsipirkimo vertinimas'!$N$20&gt;=0,0,1)</f>
        <v>0</v>
      </c>
      <c r="V374" s="92"/>
      <c r="W374" s="92"/>
      <c r="X374" s="88"/>
    </row>
    <row r="375" spans="3:24" x14ac:dyDescent="0.25">
      <c r="C375" s="88">
        <v>371</v>
      </c>
      <c r="D375" s="92">
        <f t="shared" si="36"/>
        <v>0.51049768518518002</v>
      </c>
      <c r="E375" s="92">
        <f>IF(H375=0,0,G375*('Atsipirkimo vertinimas'!$N$19)/12)</f>
        <v>-0.52005787037037554</v>
      </c>
      <c r="F375" s="92">
        <f>($G$4/('Atsipirkimo vertinimas'!$N$18*12-'Atsipirkimo vertinimas'!$N$20)*H375)</f>
        <v>0.97222222222222221</v>
      </c>
      <c r="G375" s="92">
        <f t="shared" si="39"/>
        <v>-127.36111111111238</v>
      </c>
      <c r="H375">
        <f>IF(C375-'Atsipirkimo vertinimas'!$N$20&lt;0,0,1)</f>
        <v>1</v>
      </c>
      <c r="I375" s="92"/>
      <c r="J375" s="92">
        <f t="shared" si="37"/>
        <v>0</v>
      </c>
      <c r="K375" s="92"/>
      <c r="L375" s="91">
        <f>IF('Atsipirkimo vertinimas'!$N$18*12&gt;Grafikas!C375,SUM(D364:D375),0)</f>
        <v>0</v>
      </c>
      <c r="N375" s="88">
        <v>371</v>
      </c>
      <c r="O375" s="92">
        <f t="shared" si="38"/>
        <v>5.8333333333333355E-2</v>
      </c>
      <c r="P375" s="92">
        <f>IF($Z$64&lt;S375+(S375*(('Atsipirkimo vertinimas'!$N$19)/12)),($Z$64*T375)+(Q375*U375),S375+(S375*(('Atsipirkimo vertinimas'!$N$19)/12)))</f>
        <v>0</v>
      </c>
      <c r="Q375" s="92">
        <f>IF(T375=0,0,S375*('Atsipirkimo vertinimas'!$N$19)/12)</f>
        <v>0</v>
      </c>
      <c r="R375" s="92">
        <f t="shared" si="40"/>
        <v>0</v>
      </c>
      <c r="S375" s="92">
        <f t="shared" si="41"/>
        <v>0</v>
      </c>
      <c r="T375">
        <f>IF(N375-'Atsipirkimo vertinimas'!$N$20&lt;0,0,1)</f>
        <v>1</v>
      </c>
      <c r="U375">
        <f>IF(N375-'Atsipirkimo vertinimas'!$N$20&gt;=0,0,1)</f>
        <v>0</v>
      </c>
      <c r="V375" s="92"/>
      <c r="W375" s="92"/>
      <c r="X375" s="91">
        <f>IF('Atsipirkimo vertinimas'!$N$18*12&gt;Grafikas!C375,SUM(O364:O375),0)</f>
        <v>0</v>
      </c>
    </row>
    <row r="376" spans="3:24" x14ac:dyDescent="0.25">
      <c r="C376" s="88">
        <v>372</v>
      </c>
      <c r="D376" s="92">
        <f t="shared" si="36"/>
        <v>0.50652777777777258</v>
      </c>
      <c r="E376" s="92">
        <f>IF(H376=0,0,G376*('Atsipirkimo vertinimas'!$N$19)/12)</f>
        <v>-0.52402777777778298</v>
      </c>
      <c r="F376" s="92">
        <f>($G$4/('Atsipirkimo vertinimas'!$N$18*12-'Atsipirkimo vertinimas'!$N$20)*H376)</f>
        <v>0.97222222222222221</v>
      </c>
      <c r="G376" s="92">
        <f t="shared" si="39"/>
        <v>-128.33333333333459</v>
      </c>
      <c r="H376">
        <f>IF(C376-'Atsipirkimo vertinimas'!$N$20&lt;0,0,1)</f>
        <v>1</v>
      </c>
      <c r="I376" s="92"/>
      <c r="J376" s="92">
        <f t="shared" si="37"/>
        <v>0</v>
      </c>
      <c r="K376" s="92"/>
      <c r="L376" s="88"/>
      <c r="N376" s="88">
        <v>372</v>
      </c>
      <c r="O376" s="92">
        <f t="shared" si="38"/>
        <v>5.8333333333333355E-2</v>
      </c>
      <c r="P376" s="92">
        <f>IF($Z$64&lt;S376+(S376*(('Atsipirkimo vertinimas'!$N$19)/12)),($Z$64*T376)+(Q376*U376),S376+(S376*(('Atsipirkimo vertinimas'!$N$19)/12)))</f>
        <v>0</v>
      </c>
      <c r="Q376" s="92">
        <f>IF(T376=0,0,S376*('Atsipirkimo vertinimas'!$N$19)/12)</f>
        <v>0</v>
      </c>
      <c r="R376" s="92">
        <f t="shared" si="40"/>
        <v>0</v>
      </c>
      <c r="S376" s="92">
        <f t="shared" si="41"/>
        <v>0</v>
      </c>
      <c r="T376">
        <f>IF(N376-'Atsipirkimo vertinimas'!$N$20&lt;0,0,1)</f>
        <v>1</v>
      </c>
      <c r="U376">
        <f>IF(N376-'Atsipirkimo vertinimas'!$N$20&gt;=0,0,1)</f>
        <v>0</v>
      </c>
      <c r="V376" s="92"/>
      <c r="W376" s="92"/>
      <c r="X376" s="88"/>
    </row>
    <row r="377" spans="3:24" x14ac:dyDescent="0.25">
      <c r="C377" s="88">
        <v>373</v>
      </c>
      <c r="D377" s="92">
        <f t="shared" si="36"/>
        <v>0.50255787037036515</v>
      </c>
      <c r="E377" s="92">
        <f>IF(H377=0,0,G377*('Atsipirkimo vertinimas'!$N$19)/12)</f>
        <v>-0.52799768518519041</v>
      </c>
      <c r="F377" s="92">
        <f>($G$4/('Atsipirkimo vertinimas'!$N$18*12-'Atsipirkimo vertinimas'!$N$20)*H377)</f>
        <v>0.97222222222222221</v>
      </c>
      <c r="G377" s="92">
        <f t="shared" si="39"/>
        <v>-129.30555555555682</v>
      </c>
      <c r="H377">
        <f>IF(C377-'Atsipirkimo vertinimas'!$N$20&lt;0,0,1)</f>
        <v>1</v>
      </c>
      <c r="I377" s="92"/>
      <c r="J377" s="92">
        <f t="shared" si="37"/>
        <v>0</v>
      </c>
      <c r="K377" s="92"/>
      <c r="L377" s="88"/>
      <c r="N377" s="88">
        <v>373</v>
      </c>
      <c r="O377" s="92">
        <f t="shared" si="38"/>
        <v>5.8333333333333355E-2</v>
      </c>
      <c r="P377" s="92">
        <f>IF($Z$64&lt;S377+(S377*(('Atsipirkimo vertinimas'!$N$19)/12)),($Z$64*T377)+(Q377*U377),S377+(S377*(('Atsipirkimo vertinimas'!$N$19)/12)))</f>
        <v>0</v>
      </c>
      <c r="Q377" s="92">
        <f>IF(T377=0,0,S377*('Atsipirkimo vertinimas'!$N$19)/12)</f>
        <v>0</v>
      </c>
      <c r="R377" s="92">
        <f t="shared" si="40"/>
        <v>0</v>
      </c>
      <c r="S377" s="92">
        <f t="shared" si="41"/>
        <v>0</v>
      </c>
      <c r="T377">
        <f>IF(N377-'Atsipirkimo vertinimas'!$N$20&lt;0,0,1)</f>
        <v>1</v>
      </c>
      <c r="U377">
        <f>IF(N377-'Atsipirkimo vertinimas'!$N$20&gt;=0,0,1)</f>
        <v>0</v>
      </c>
      <c r="V377" s="92"/>
      <c r="W377" s="92"/>
      <c r="X377" s="88"/>
    </row>
    <row r="378" spans="3:24" x14ac:dyDescent="0.25">
      <c r="C378" s="88">
        <v>374</v>
      </c>
      <c r="D378" s="92">
        <f t="shared" si="36"/>
        <v>0.49858796296295771</v>
      </c>
      <c r="E378" s="92">
        <f>IF(H378=0,0,G378*('Atsipirkimo vertinimas'!$N$19)/12)</f>
        <v>-0.53196759259259785</v>
      </c>
      <c r="F378" s="92">
        <f>($G$4/('Atsipirkimo vertinimas'!$N$18*12-'Atsipirkimo vertinimas'!$N$20)*H378)</f>
        <v>0.97222222222222221</v>
      </c>
      <c r="G378" s="92">
        <f t="shared" si="39"/>
        <v>-130.27777777777905</v>
      </c>
      <c r="H378">
        <f>IF(C378-'Atsipirkimo vertinimas'!$N$20&lt;0,0,1)</f>
        <v>1</v>
      </c>
      <c r="I378" s="92"/>
      <c r="J378" s="92">
        <f t="shared" si="37"/>
        <v>0</v>
      </c>
      <c r="K378" s="92"/>
      <c r="L378" s="88"/>
      <c r="N378" s="88">
        <v>374</v>
      </c>
      <c r="O378" s="92">
        <f t="shared" si="38"/>
        <v>5.8333333333333355E-2</v>
      </c>
      <c r="P378" s="92">
        <f>IF($Z$64&lt;S378+(S378*(('Atsipirkimo vertinimas'!$N$19)/12)),($Z$64*T378)+(Q378*U378),S378+(S378*(('Atsipirkimo vertinimas'!$N$19)/12)))</f>
        <v>0</v>
      </c>
      <c r="Q378" s="92">
        <f>IF(T378=0,0,S378*('Atsipirkimo vertinimas'!$N$19)/12)</f>
        <v>0</v>
      </c>
      <c r="R378" s="92">
        <f t="shared" si="40"/>
        <v>0</v>
      </c>
      <c r="S378" s="92">
        <f t="shared" si="41"/>
        <v>0</v>
      </c>
      <c r="T378">
        <f>IF(N378-'Atsipirkimo vertinimas'!$N$20&lt;0,0,1)</f>
        <v>1</v>
      </c>
      <c r="U378">
        <f>IF(N378-'Atsipirkimo vertinimas'!$N$20&gt;=0,0,1)</f>
        <v>0</v>
      </c>
      <c r="V378" s="92"/>
      <c r="W378" s="92"/>
      <c r="X378" s="88"/>
    </row>
    <row r="379" spans="3:24" x14ac:dyDescent="0.25">
      <c r="C379" s="88">
        <v>375</v>
      </c>
      <c r="D379" s="92">
        <f t="shared" si="36"/>
        <v>0.49461805555555038</v>
      </c>
      <c r="E379" s="92">
        <f>IF(H379=0,0,G379*('Atsipirkimo vertinimas'!$N$19)/12)</f>
        <v>-0.53593750000000517</v>
      </c>
      <c r="F379" s="92">
        <f>($G$4/('Atsipirkimo vertinimas'!$N$18*12-'Atsipirkimo vertinimas'!$N$20)*H379)</f>
        <v>0.97222222222222221</v>
      </c>
      <c r="G379" s="92">
        <f t="shared" si="39"/>
        <v>-131.25000000000128</v>
      </c>
      <c r="H379">
        <f>IF(C379-'Atsipirkimo vertinimas'!$N$20&lt;0,0,1)</f>
        <v>1</v>
      </c>
      <c r="I379" s="92"/>
      <c r="J379" s="92">
        <f t="shared" si="37"/>
        <v>0</v>
      </c>
      <c r="K379" s="92"/>
      <c r="L379" s="88"/>
      <c r="N379" s="88">
        <v>375</v>
      </c>
      <c r="O379" s="92">
        <f t="shared" si="38"/>
        <v>5.8333333333333355E-2</v>
      </c>
      <c r="P379" s="92">
        <f>IF($Z$64&lt;S379+(S379*(('Atsipirkimo vertinimas'!$N$19)/12)),($Z$64*T379)+(Q379*U379),S379+(S379*(('Atsipirkimo vertinimas'!$N$19)/12)))</f>
        <v>0</v>
      </c>
      <c r="Q379" s="92">
        <f>IF(T379=0,0,S379*('Atsipirkimo vertinimas'!$N$19)/12)</f>
        <v>0</v>
      </c>
      <c r="R379" s="92">
        <f t="shared" si="40"/>
        <v>0</v>
      </c>
      <c r="S379" s="92">
        <f t="shared" si="41"/>
        <v>0</v>
      </c>
      <c r="T379">
        <f>IF(N379-'Atsipirkimo vertinimas'!$N$20&lt;0,0,1)</f>
        <v>1</v>
      </c>
      <c r="U379">
        <f>IF(N379-'Atsipirkimo vertinimas'!$N$20&gt;=0,0,1)</f>
        <v>0</v>
      </c>
      <c r="V379" s="92"/>
      <c r="W379" s="92"/>
      <c r="X379" s="88"/>
    </row>
    <row r="380" spans="3:24" x14ac:dyDescent="0.25">
      <c r="C380" s="88">
        <v>376</v>
      </c>
      <c r="D380" s="92">
        <f t="shared" si="36"/>
        <v>0.49064814814814284</v>
      </c>
      <c r="E380" s="92">
        <f>IF(H380=0,0,G380*('Atsipirkimo vertinimas'!$N$19)/12)</f>
        <v>-0.53990740740741272</v>
      </c>
      <c r="F380" s="92">
        <f>($G$4/('Atsipirkimo vertinimas'!$N$18*12-'Atsipirkimo vertinimas'!$N$20)*H380)</f>
        <v>0.97222222222222221</v>
      </c>
      <c r="G380" s="92">
        <f t="shared" si="39"/>
        <v>-132.22222222222351</v>
      </c>
      <c r="H380">
        <f>IF(C380-'Atsipirkimo vertinimas'!$N$20&lt;0,0,1)</f>
        <v>1</v>
      </c>
      <c r="I380" s="92"/>
      <c r="J380" s="92">
        <f t="shared" si="37"/>
        <v>0</v>
      </c>
      <c r="K380" s="92"/>
      <c r="L380" s="88"/>
      <c r="N380" s="88">
        <v>376</v>
      </c>
      <c r="O380" s="92">
        <f t="shared" si="38"/>
        <v>5.8333333333333355E-2</v>
      </c>
      <c r="P380" s="92">
        <f>IF($Z$64&lt;S380+(S380*(('Atsipirkimo vertinimas'!$N$19)/12)),($Z$64*T380)+(Q380*U380),S380+(S380*(('Atsipirkimo vertinimas'!$N$19)/12)))</f>
        <v>0</v>
      </c>
      <c r="Q380" s="92">
        <f>IF(T380=0,0,S380*('Atsipirkimo vertinimas'!$N$19)/12)</f>
        <v>0</v>
      </c>
      <c r="R380" s="92">
        <f t="shared" si="40"/>
        <v>0</v>
      </c>
      <c r="S380" s="92">
        <f t="shared" si="41"/>
        <v>0</v>
      </c>
      <c r="T380">
        <f>IF(N380-'Atsipirkimo vertinimas'!$N$20&lt;0,0,1)</f>
        <v>1</v>
      </c>
      <c r="U380">
        <f>IF(N380-'Atsipirkimo vertinimas'!$N$20&gt;=0,0,1)</f>
        <v>0</v>
      </c>
      <c r="V380" s="92"/>
      <c r="W380" s="92"/>
      <c r="X380" s="88"/>
    </row>
    <row r="381" spans="3:24" x14ac:dyDescent="0.25">
      <c r="C381" s="88">
        <v>377</v>
      </c>
      <c r="D381" s="92">
        <f t="shared" si="36"/>
        <v>0.48667824074073551</v>
      </c>
      <c r="E381" s="92">
        <f>IF(H381=0,0,G381*('Atsipirkimo vertinimas'!$N$19)/12)</f>
        <v>-0.54387731481482005</v>
      </c>
      <c r="F381" s="92">
        <f>($G$4/('Atsipirkimo vertinimas'!$N$18*12-'Atsipirkimo vertinimas'!$N$20)*H381)</f>
        <v>0.97222222222222221</v>
      </c>
      <c r="G381" s="92">
        <f t="shared" si="39"/>
        <v>-133.19444444444574</v>
      </c>
      <c r="H381">
        <f>IF(C381-'Atsipirkimo vertinimas'!$N$20&lt;0,0,1)</f>
        <v>1</v>
      </c>
      <c r="I381" s="92"/>
      <c r="J381" s="92">
        <f t="shared" si="37"/>
        <v>0</v>
      </c>
      <c r="K381" s="92"/>
      <c r="L381" s="88"/>
      <c r="N381" s="88">
        <v>377</v>
      </c>
      <c r="O381" s="92">
        <f t="shared" si="38"/>
        <v>5.8333333333333355E-2</v>
      </c>
      <c r="P381" s="92">
        <f>IF($Z$64&lt;S381+(S381*(('Atsipirkimo vertinimas'!$N$19)/12)),($Z$64*T381)+(Q381*U381),S381+(S381*(('Atsipirkimo vertinimas'!$N$19)/12)))</f>
        <v>0</v>
      </c>
      <c r="Q381" s="92">
        <f>IF(T381=0,0,S381*('Atsipirkimo vertinimas'!$N$19)/12)</f>
        <v>0</v>
      </c>
      <c r="R381" s="92">
        <f t="shared" si="40"/>
        <v>0</v>
      </c>
      <c r="S381" s="92">
        <f t="shared" si="41"/>
        <v>0</v>
      </c>
      <c r="T381">
        <f>IF(N381-'Atsipirkimo vertinimas'!$N$20&lt;0,0,1)</f>
        <v>1</v>
      </c>
      <c r="U381">
        <f>IF(N381-'Atsipirkimo vertinimas'!$N$20&gt;=0,0,1)</f>
        <v>0</v>
      </c>
      <c r="V381" s="92"/>
      <c r="W381" s="92"/>
      <c r="X381" s="88"/>
    </row>
    <row r="382" spans="3:24" x14ac:dyDescent="0.25">
      <c r="C382" s="88">
        <v>378</v>
      </c>
      <c r="D382" s="92">
        <f t="shared" si="36"/>
        <v>0.48270833333332797</v>
      </c>
      <c r="E382" s="92">
        <f>IF(H382=0,0,G382*('Atsipirkimo vertinimas'!$N$19)/12)</f>
        <v>-0.54784722222222759</v>
      </c>
      <c r="F382" s="92">
        <f>($G$4/('Atsipirkimo vertinimas'!$N$18*12-'Atsipirkimo vertinimas'!$N$20)*H382)</f>
        <v>0.97222222222222221</v>
      </c>
      <c r="G382" s="92">
        <f t="shared" si="39"/>
        <v>-134.16666666666796</v>
      </c>
      <c r="H382">
        <f>IF(C382-'Atsipirkimo vertinimas'!$N$20&lt;0,0,1)</f>
        <v>1</v>
      </c>
      <c r="I382" s="92"/>
      <c r="J382" s="92">
        <f t="shared" si="37"/>
        <v>0</v>
      </c>
      <c r="K382" s="92"/>
      <c r="L382" s="88"/>
      <c r="N382" s="88">
        <v>378</v>
      </c>
      <c r="O382" s="92">
        <f t="shared" si="38"/>
        <v>5.8333333333333355E-2</v>
      </c>
      <c r="P382" s="92">
        <f>IF($Z$64&lt;S382+(S382*(('Atsipirkimo vertinimas'!$N$19)/12)),($Z$64*T382)+(Q382*U382),S382+(S382*(('Atsipirkimo vertinimas'!$N$19)/12)))</f>
        <v>0</v>
      </c>
      <c r="Q382" s="92">
        <f>IF(T382=0,0,S382*('Atsipirkimo vertinimas'!$N$19)/12)</f>
        <v>0</v>
      </c>
      <c r="R382" s="92">
        <f t="shared" si="40"/>
        <v>0</v>
      </c>
      <c r="S382" s="92">
        <f t="shared" si="41"/>
        <v>0</v>
      </c>
      <c r="T382">
        <f>IF(N382-'Atsipirkimo vertinimas'!$N$20&lt;0,0,1)</f>
        <v>1</v>
      </c>
      <c r="U382">
        <f>IF(N382-'Atsipirkimo vertinimas'!$N$20&gt;=0,0,1)</f>
        <v>0</v>
      </c>
      <c r="V382" s="92"/>
      <c r="W382" s="92"/>
      <c r="X382" s="88"/>
    </row>
    <row r="383" spans="3:24" x14ac:dyDescent="0.25">
      <c r="C383" s="88">
        <v>379</v>
      </c>
      <c r="D383" s="92">
        <f t="shared" si="36"/>
        <v>0.47873842592592064</v>
      </c>
      <c r="E383" s="92">
        <f>IF(H383=0,0,G383*('Atsipirkimo vertinimas'!$N$19)/12)</f>
        <v>-0.55181712962963492</v>
      </c>
      <c r="F383" s="92">
        <f>($G$4/('Atsipirkimo vertinimas'!$N$18*12-'Atsipirkimo vertinimas'!$N$20)*H383)</f>
        <v>0.97222222222222221</v>
      </c>
      <c r="G383" s="92">
        <f t="shared" si="39"/>
        <v>-135.13888888889019</v>
      </c>
      <c r="H383">
        <f>IF(C383-'Atsipirkimo vertinimas'!$N$20&lt;0,0,1)</f>
        <v>1</v>
      </c>
      <c r="I383" s="92"/>
      <c r="J383" s="92">
        <f t="shared" si="37"/>
        <v>0</v>
      </c>
      <c r="K383" s="92"/>
      <c r="L383" s="88"/>
      <c r="N383" s="88">
        <v>379</v>
      </c>
      <c r="O383" s="92">
        <f t="shared" si="38"/>
        <v>5.8333333333333355E-2</v>
      </c>
      <c r="P383" s="92">
        <f>IF($Z$64&lt;S383+(S383*(('Atsipirkimo vertinimas'!$N$19)/12)),($Z$64*T383)+(Q383*U383),S383+(S383*(('Atsipirkimo vertinimas'!$N$19)/12)))</f>
        <v>0</v>
      </c>
      <c r="Q383" s="92">
        <f>IF(T383=0,0,S383*('Atsipirkimo vertinimas'!$N$19)/12)</f>
        <v>0</v>
      </c>
      <c r="R383" s="92">
        <f t="shared" si="40"/>
        <v>0</v>
      </c>
      <c r="S383" s="92">
        <f t="shared" si="41"/>
        <v>0</v>
      </c>
      <c r="T383">
        <f>IF(N383-'Atsipirkimo vertinimas'!$N$20&lt;0,0,1)</f>
        <v>1</v>
      </c>
      <c r="U383">
        <f>IF(N383-'Atsipirkimo vertinimas'!$N$20&gt;=0,0,1)</f>
        <v>0</v>
      </c>
      <c r="V383" s="92"/>
      <c r="W383" s="92"/>
      <c r="X383" s="88"/>
    </row>
    <row r="384" spans="3:24" x14ac:dyDescent="0.25">
      <c r="C384" s="88">
        <v>380</v>
      </c>
      <c r="D384" s="92">
        <f t="shared" si="36"/>
        <v>0.47476851851851309</v>
      </c>
      <c r="E384" s="92">
        <f>IF(H384=0,0,G384*('Atsipirkimo vertinimas'!$N$19)/12)</f>
        <v>-0.55578703703704246</v>
      </c>
      <c r="F384" s="92">
        <f>($G$4/('Atsipirkimo vertinimas'!$N$18*12-'Atsipirkimo vertinimas'!$N$20)*H384)</f>
        <v>0.97222222222222221</v>
      </c>
      <c r="G384" s="92">
        <f t="shared" si="39"/>
        <v>-136.11111111111242</v>
      </c>
      <c r="H384">
        <f>IF(C384-'Atsipirkimo vertinimas'!$N$20&lt;0,0,1)</f>
        <v>1</v>
      </c>
      <c r="I384" s="92"/>
      <c r="J384" s="92">
        <f t="shared" si="37"/>
        <v>0</v>
      </c>
      <c r="K384" s="92"/>
      <c r="L384" s="88"/>
      <c r="N384" s="88">
        <v>380</v>
      </c>
      <c r="O384" s="92">
        <f t="shared" si="38"/>
        <v>5.8333333333333355E-2</v>
      </c>
      <c r="P384" s="92">
        <f>IF($Z$64&lt;S384+(S384*(('Atsipirkimo vertinimas'!$N$19)/12)),($Z$64*T384)+(Q384*U384),S384+(S384*(('Atsipirkimo vertinimas'!$N$19)/12)))</f>
        <v>0</v>
      </c>
      <c r="Q384" s="92">
        <f>IF(T384=0,0,S384*('Atsipirkimo vertinimas'!$N$19)/12)</f>
        <v>0</v>
      </c>
      <c r="R384" s="92">
        <f t="shared" si="40"/>
        <v>0</v>
      </c>
      <c r="S384" s="92">
        <f t="shared" si="41"/>
        <v>0</v>
      </c>
      <c r="T384">
        <f>IF(N384-'Atsipirkimo vertinimas'!$N$20&lt;0,0,1)</f>
        <v>1</v>
      </c>
      <c r="U384">
        <f>IF(N384-'Atsipirkimo vertinimas'!$N$20&gt;=0,0,1)</f>
        <v>0</v>
      </c>
      <c r="V384" s="92"/>
      <c r="W384" s="92"/>
      <c r="X384" s="88"/>
    </row>
    <row r="385" spans="3:24" x14ac:dyDescent="0.25">
      <c r="C385" s="88">
        <v>381</v>
      </c>
      <c r="D385" s="92">
        <f t="shared" si="36"/>
        <v>0.47079861111110577</v>
      </c>
      <c r="E385" s="92">
        <f>IF(H385=0,0,G385*('Atsipirkimo vertinimas'!$N$19)/12)</f>
        <v>-0.55975694444444979</v>
      </c>
      <c r="F385" s="92">
        <f>($G$4/('Atsipirkimo vertinimas'!$N$18*12-'Atsipirkimo vertinimas'!$N$20)*H385)</f>
        <v>0.97222222222222221</v>
      </c>
      <c r="G385" s="92">
        <f t="shared" si="39"/>
        <v>-137.08333333333465</v>
      </c>
      <c r="H385">
        <f>IF(C385-'Atsipirkimo vertinimas'!$N$20&lt;0,0,1)</f>
        <v>1</v>
      </c>
      <c r="I385" s="92"/>
      <c r="J385" s="92">
        <f t="shared" si="37"/>
        <v>0</v>
      </c>
      <c r="K385" s="92"/>
      <c r="L385" s="88"/>
      <c r="N385" s="88">
        <v>381</v>
      </c>
      <c r="O385" s="92">
        <f t="shared" si="38"/>
        <v>5.8333333333333355E-2</v>
      </c>
      <c r="P385" s="92">
        <f>IF($Z$64&lt;S385+(S385*(('Atsipirkimo vertinimas'!$N$19)/12)),($Z$64*T385)+(Q385*U385),S385+(S385*(('Atsipirkimo vertinimas'!$N$19)/12)))</f>
        <v>0</v>
      </c>
      <c r="Q385" s="92">
        <f>IF(T385=0,0,S385*('Atsipirkimo vertinimas'!$N$19)/12)</f>
        <v>0</v>
      </c>
      <c r="R385" s="92">
        <f t="shared" si="40"/>
        <v>0</v>
      </c>
      <c r="S385" s="92">
        <f t="shared" si="41"/>
        <v>0</v>
      </c>
      <c r="T385">
        <f>IF(N385-'Atsipirkimo vertinimas'!$N$20&lt;0,0,1)</f>
        <v>1</v>
      </c>
      <c r="U385">
        <f>IF(N385-'Atsipirkimo vertinimas'!$N$20&gt;=0,0,1)</f>
        <v>0</v>
      </c>
      <c r="V385" s="92"/>
      <c r="W385" s="92"/>
      <c r="X385" s="88"/>
    </row>
    <row r="386" spans="3:24" x14ac:dyDescent="0.25">
      <c r="C386" s="88">
        <v>382</v>
      </c>
      <c r="D386" s="92">
        <f t="shared" si="36"/>
        <v>0.46682870370369822</v>
      </c>
      <c r="E386" s="92">
        <f>IF(H386=0,0,G386*('Atsipirkimo vertinimas'!$N$19)/12)</f>
        <v>-0.56372685185185734</v>
      </c>
      <c r="F386" s="92">
        <f>($G$4/('Atsipirkimo vertinimas'!$N$18*12-'Atsipirkimo vertinimas'!$N$20)*H386)</f>
        <v>0.97222222222222221</v>
      </c>
      <c r="G386" s="92">
        <f t="shared" si="39"/>
        <v>-138.05555555555688</v>
      </c>
      <c r="H386">
        <f>IF(C386-'Atsipirkimo vertinimas'!$N$20&lt;0,0,1)</f>
        <v>1</v>
      </c>
      <c r="I386" s="92"/>
      <c r="J386" s="92">
        <f t="shared" si="37"/>
        <v>0</v>
      </c>
      <c r="K386" s="92"/>
      <c r="L386" s="88"/>
      <c r="N386" s="88">
        <v>382</v>
      </c>
      <c r="O386" s="92">
        <f t="shared" si="38"/>
        <v>5.8333333333333355E-2</v>
      </c>
      <c r="P386" s="92">
        <f>IF($Z$64&lt;S386+(S386*(('Atsipirkimo vertinimas'!$N$19)/12)),($Z$64*T386)+(Q386*U386),S386+(S386*(('Atsipirkimo vertinimas'!$N$19)/12)))</f>
        <v>0</v>
      </c>
      <c r="Q386" s="92">
        <f>IF(T386=0,0,S386*('Atsipirkimo vertinimas'!$N$19)/12)</f>
        <v>0</v>
      </c>
      <c r="R386" s="92">
        <f t="shared" si="40"/>
        <v>0</v>
      </c>
      <c r="S386" s="92">
        <f t="shared" si="41"/>
        <v>0</v>
      </c>
      <c r="T386">
        <f>IF(N386-'Atsipirkimo vertinimas'!$N$20&lt;0,0,1)</f>
        <v>1</v>
      </c>
      <c r="U386">
        <f>IF(N386-'Atsipirkimo vertinimas'!$N$20&gt;=0,0,1)</f>
        <v>0</v>
      </c>
      <c r="V386" s="92"/>
      <c r="W386" s="92"/>
      <c r="X386" s="88"/>
    </row>
    <row r="387" spans="3:24" x14ac:dyDescent="0.25">
      <c r="C387" s="88">
        <v>383</v>
      </c>
      <c r="D387" s="92">
        <f t="shared" si="36"/>
        <v>0.4628587962962909</v>
      </c>
      <c r="E387" s="92">
        <f>IF(H387=0,0,G387*('Atsipirkimo vertinimas'!$N$19)/12)</f>
        <v>-0.56769675925926466</v>
      </c>
      <c r="F387" s="92">
        <f>($G$4/('Atsipirkimo vertinimas'!$N$18*12-'Atsipirkimo vertinimas'!$N$20)*H387)</f>
        <v>0.97222222222222221</v>
      </c>
      <c r="G387" s="92">
        <f t="shared" si="39"/>
        <v>-139.02777777777911</v>
      </c>
      <c r="H387">
        <f>IF(C387-'Atsipirkimo vertinimas'!$N$20&lt;0,0,1)</f>
        <v>1</v>
      </c>
      <c r="I387" s="92"/>
      <c r="J387" s="92">
        <f t="shared" si="37"/>
        <v>0</v>
      </c>
      <c r="K387" s="92"/>
      <c r="L387" s="91">
        <f>IF('Atsipirkimo vertinimas'!$N$18*12&gt;Grafikas!C387,SUM(D376:D387),0)</f>
        <v>0</v>
      </c>
      <c r="N387" s="88">
        <v>383</v>
      </c>
      <c r="O387" s="92">
        <f t="shared" si="38"/>
        <v>5.8333333333333355E-2</v>
      </c>
      <c r="P387" s="92">
        <f>IF($Z$64&lt;S387+(S387*(('Atsipirkimo vertinimas'!$N$19)/12)),($Z$64*T387)+(Q387*U387),S387+(S387*(('Atsipirkimo vertinimas'!$N$19)/12)))</f>
        <v>0</v>
      </c>
      <c r="Q387" s="92">
        <f>IF(T387=0,0,S387*('Atsipirkimo vertinimas'!$N$19)/12)</f>
        <v>0</v>
      </c>
      <c r="R387" s="92">
        <f t="shared" si="40"/>
        <v>0</v>
      </c>
      <c r="S387" s="92">
        <f t="shared" si="41"/>
        <v>0</v>
      </c>
      <c r="T387">
        <f>IF(N387-'Atsipirkimo vertinimas'!$N$20&lt;0,0,1)</f>
        <v>1</v>
      </c>
      <c r="U387">
        <f>IF(N387-'Atsipirkimo vertinimas'!$N$20&gt;=0,0,1)</f>
        <v>0</v>
      </c>
      <c r="V387" s="92"/>
      <c r="W387" s="92"/>
      <c r="X387" s="91">
        <f>IF('Atsipirkimo vertinimas'!$N$18*12&gt;Grafikas!C387,SUM(O376:O387),0)</f>
        <v>0</v>
      </c>
    </row>
    <row r="388" spans="3:24" x14ac:dyDescent="0.25">
      <c r="C388" s="88">
        <v>384</v>
      </c>
      <c r="D388" s="92">
        <f t="shared" si="36"/>
        <v>0.45888888888888335</v>
      </c>
      <c r="E388" s="92">
        <f>IF(H388=0,0,G388*('Atsipirkimo vertinimas'!$N$19)/12)</f>
        <v>-0.57166666666667221</v>
      </c>
      <c r="F388" s="92">
        <f>($G$4/('Atsipirkimo vertinimas'!$N$18*12-'Atsipirkimo vertinimas'!$N$20)*H388)</f>
        <v>0.97222222222222221</v>
      </c>
      <c r="G388" s="92">
        <f t="shared" si="39"/>
        <v>-140.00000000000134</v>
      </c>
      <c r="H388">
        <f>IF(C388-'Atsipirkimo vertinimas'!$N$20&lt;0,0,1)</f>
        <v>1</v>
      </c>
      <c r="I388" s="92"/>
      <c r="J388" s="92">
        <f t="shared" si="37"/>
        <v>0</v>
      </c>
      <c r="K388" s="92"/>
      <c r="L388" s="88"/>
      <c r="N388" s="88">
        <v>384</v>
      </c>
      <c r="O388" s="92">
        <f t="shared" si="38"/>
        <v>5.8333333333333355E-2</v>
      </c>
      <c r="P388" s="92">
        <f>IF($Z$64&lt;S388+(S388*(('Atsipirkimo vertinimas'!$N$19)/12)),($Z$64*T388)+(Q388*U388),S388+(S388*(('Atsipirkimo vertinimas'!$N$19)/12)))</f>
        <v>0</v>
      </c>
      <c r="Q388" s="92">
        <f>IF(T388=0,0,S388*('Atsipirkimo vertinimas'!$N$19)/12)</f>
        <v>0</v>
      </c>
      <c r="R388" s="92">
        <f t="shared" si="40"/>
        <v>0</v>
      </c>
      <c r="S388" s="92">
        <f t="shared" si="41"/>
        <v>0</v>
      </c>
      <c r="T388">
        <f>IF(N388-'Atsipirkimo vertinimas'!$N$20&lt;0,0,1)</f>
        <v>1</v>
      </c>
      <c r="U388">
        <f>IF(N388-'Atsipirkimo vertinimas'!$N$20&gt;=0,0,1)</f>
        <v>0</v>
      </c>
      <c r="V388" s="92"/>
      <c r="W388" s="92"/>
      <c r="X388" s="88"/>
    </row>
    <row r="389" spans="3:24" x14ac:dyDescent="0.25">
      <c r="C389" s="88">
        <v>385</v>
      </c>
      <c r="D389" s="92">
        <f t="shared" ref="D389:D452" si="42">IF(H389=0,E389+F389,E389+F389+$K$4)</f>
        <v>0.45491898148147603</v>
      </c>
      <c r="E389" s="92">
        <f>IF(H389=0,0,G389*('Atsipirkimo vertinimas'!$N$19)/12)</f>
        <v>-0.57563657407407953</v>
      </c>
      <c r="F389" s="92">
        <f>($G$4/('Atsipirkimo vertinimas'!$N$18*12-'Atsipirkimo vertinimas'!$N$20)*H389)</f>
        <v>0.97222222222222221</v>
      </c>
      <c r="G389" s="92">
        <f t="shared" si="39"/>
        <v>-140.97222222222356</v>
      </c>
      <c r="H389">
        <f>IF(C389-'Atsipirkimo vertinimas'!$N$20&lt;0,0,1)</f>
        <v>1</v>
      </c>
      <c r="I389" s="92"/>
      <c r="J389" s="92">
        <f t="shared" ref="J389:J452" si="43">IF(H389=0,G389*(0.03)/12,0)</f>
        <v>0</v>
      </c>
      <c r="K389" s="92"/>
      <c r="L389" s="88"/>
      <c r="N389" s="88">
        <v>385</v>
      </c>
      <c r="O389" s="92">
        <f t="shared" ref="O389:O452" si="44">IF(T389=0,0,($X$4+P389))</f>
        <v>5.8333333333333355E-2</v>
      </c>
      <c r="P389" s="92">
        <f>IF($Z$64&lt;S389+(S389*(('Atsipirkimo vertinimas'!$N$19)/12)),($Z$64*T389)+(Q389*U389),S389+(S389*(('Atsipirkimo vertinimas'!$N$19)/12)))</f>
        <v>0</v>
      </c>
      <c r="Q389" s="92">
        <f>IF(T389=0,0,S389*('Atsipirkimo vertinimas'!$N$19)/12)</f>
        <v>0</v>
      </c>
      <c r="R389" s="92">
        <f t="shared" si="40"/>
        <v>0</v>
      </c>
      <c r="S389" s="92">
        <f t="shared" si="41"/>
        <v>0</v>
      </c>
      <c r="T389">
        <f>IF(N389-'Atsipirkimo vertinimas'!$N$20&lt;0,0,1)</f>
        <v>1</v>
      </c>
      <c r="U389">
        <f>IF(N389-'Atsipirkimo vertinimas'!$N$20&gt;=0,0,1)</f>
        <v>0</v>
      </c>
      <c r="V389" s="92"/>
      <c r="W389" s="92"/>
      <c r="X389" s="88"/>
    </row>
    <row r="390" spans="3:24" x14ac:dyDescent="0.25">
      <c r="C390" s="88">
        <v>386</v>
      </c>
      <c r="D390" s="92">
        <f t="shared" si="42"/>
        <v>0.45094907407406848</v>
      </c>
      <c r="E390" s="92">
        <f>IF(H390=0,0,G390*('Atsipirkimo vertinimas'!$N$19)/12)</f>
        <v>-0.57960648148148708</v>
      </c>
      <c r="F390" s="92">
        <f>($G$4/('Atsipirkimo vertinimas'!$N$18*12-'Atsipirkimo vertinimas'!$N$20)*H390)</f>
        <v>0.97222222222222221</v>
      </c>
      <c r="G390" s="92">
        <f t="shared" ref="G390:G453" si="45">(G389-F389)</f>
        <v>-141.94444444444579</v>
      </c>
      <c r="H390">
        <f>IF(C390-'Atsipirkimo vertinimas'!$N$20&lt;0,0,1)</f>
        <v>1</v>
      </c>
      <c r="I390" s="92"/>
      <c r="J390" s="92">
        <f t="shared" si="43"/>
        <v>0</v>
      </c>
      <c r="K390" s="92"/>
      <c r="L390" s="88"/>
      <c r="N390" s="88">
        <v>386</v>
      </c>
      <c r="O390" s="92">
        <f t="shared" si="44"/>
        <v>5.8333333333333355E-2</v>
      </c>
      <c r="P390" s="92">
        <f>IF($Z$64&lt;S390+(S390*(('Atsipirkimo vertinimas'!$N$19)/12)),($Z$64*T390)+(Q390*U390),S390+(S390*(('Atsipirkimo vertinimas'!$N$19)/12)))</f>
        <v>0</v>
      </c>
      <c r="Q390" s="92">
        <f>IF(T390=0,0,S390*('Atsipirkimo vertinimas'!$N$19)/12)</f>
        <v>0</v>
      </c>
      <c r="R390" s="92">
        <f t="shared" ref="R390:R453" si="46">(P390-Q390)*T390</f>
        <v>0</v>
      </c>
      <c r="S390" s="92">
        <f t="shared" ref="S390:S453" si="47">(S389-R389)</f>
        <v>0</v>
      </c>
      <c r="T390">
        <f>IF(N390-'Atsipirkimo vertinimas'!$N$20&lt;0,0,1)</f>
        <v>1</v>
      </c>
      <c r="U390">
        <f>IF(N390-'Atsipirkimo vertinimas'!$N$20&gt;=0,0,1)</f>
        <v>0</v>
      </c>
      <c r="V390" s="92"/>
      <c r="W390" s="92"/>
      <c r="X390" s="88"/>
    </row>
    <row r="391" spans="3:24" x14ac:dyDescent="0.25">
      <c r="C391" s="88">
        <v>387</v>
      </c>
      <c r="D391" s="92">
        <f t="shared" si="42"/>
        <v>0.44697916666666115</v>
      </c>
      <c r="E391" s="92">
        <f>IF(H391=0,0,G391*('Atsipirkimo vertinimas'!$N$19)/12)</f>
        <v>-0.5835763888888944</v>
      </c>
      <c r="F391" s="92">
        <f>($G$4/('Atsipirkimo vertinimas'!$N$18*12-'Atsipirkimo vertinimas'!$N$20)*H391)</f>
        <v>0.97222222222222221</v>
      </c>
      <c r="G391" s="92">
        <f t="shared" si="45"/>
        <v>-142.91666666666802</v>
      </c>
      <c r="H391">
        <f>IF(C391-'Atsipirkimo vertinimas'!$N$20&lt;0,0,1)</f>
        <v>1</v>
      </c>
      <c r="I391" s="92"/>
      <c r="J391" s="92">
        <f t="shared" si="43"/>
        <v>0</v>
      </c>
      <c r="K391" s="92"/>
      <c r="L391" s="88"/>
      <c r="N391" s="88">
        <v>387</v>
      </c>
      <c r="O391" s="92">
        <f t="shared" si="44"/>
        <v>5.8333333333333355E-2</v>
      </c>
      <c r="P391" s="92">
        <f>IF($Z$64&lt;S391+(S391*(('Atsipirkimo vertinimas'!$N$19)/12)),($Z$64*T391)+(Q391*U391),S391+(S391*(('Atsipirkimo vertinimas'!$N$19)/12)))</f>
        <v>0</v>
      </c>
      <c r="Q391" s="92">
        <f>IF(T391=0,0,S391*('Atsipirkimo vertinimas'!$N$19)/12)</f>
        <v>0</v>
      </c>
      <c r="R391" s="92">
        <f t="shared" si="46"/>
        <v>0</v>
      </c>
      <c r="S391" s="92">
        <f t="shared" si="47"/>
        <v>0</v>
      </c>
      <c r="T391">
        <f>IF(N391-'Atsipirkimo vertinimas'!$N$20&lt;0,0,1)</f>
        <v>1</v>
      </c>
      <c r="U391">
        <f>IF(N391-'Atsipirkimo vertinimas'!$N$20&gt;=0,0,1)</f>
        <v>0</v>
      </c>
      <c r="V391" s="92"/>
      <c r="W391" s="92"/>
      <c r="X391" s="88"/>
    </row>
    <row r="392" spans="3:24" x14ac:dyDescent="0.25">
      <c r="C392" s="88">
        <v>388</v>
      </c>
      <c r="D392" s="92">
        <f t="shared" si="42"/>
        <v>0.44300925925925372</v>
      </c>
      <c r="E392" s="92">
        <f>IF(H392=0,0,G392*('Atsipirkimo vertinimas'!$N$19)/12)</f>
        <v>-0.58754629629630184</v>
      </c>
      <c r="F392" s="92">
        <f>($G$4/('Atsipirkimo vertinimas'!$N$18*12-'Atsipirkimo vertinimas'!$N$20)*H392)</f>
        <v>0.97222222222222221</v>
      </c>
      <c r="G392" s="92">
        <f t="shared" si="45"/>
        <v>-143.88888888889025</v>
      </c>
      <c r="H392">
        <f>IF(C392-'Atsipirkimo vertinimas'!$N$20&lt;0,0,1)</f>
        <v>1</v>
      </c>
      <c r="I392" s="92"/>
      <c r="J392" s="92">
        <f t="shared" si="43"/>
        <v>0</v>
      </c>
      <c r="K392" s="92"/>
      <c r="L392" s="88"/>
      <c r="N392" s="88">
        <v>388</v>
      </c>
      <c r="O392" s="92">
        <f t="shared" si="44"/>
        <v>5.8333333333333355E-2</v>
      </c>
      <c r="P392" s="92">
        <f>IF($Z$64&lt;S392+(S392*(('Atsipirkimo vertinimas'!$N$19)/12)),($Z$64*T392)+(Q392*U392),S392+(S392*(('Atsipirkimo vertinimas'!$N$19)/12)))</f>
        <v>0</v>
      </c>
      <c r="Q392" s="92">
        <f>IF(T392=0,0,S392*('Atsipirkimo vertinimas'!$N$19)/12)</f>
        <v>0</v>
      </c>
      <c r="R392" s="92">
        <f t="shared" si="46"/>
        <v>0</v>
      </c>
      <c r="S392" s="92">
        <f t="shared" si="47"/>
        <v>0</v>
      </c>
      <c r="T392">
        <f>IF(N392-'Atsipirkimo vertinimas'!$N$20&lt;0,0,1)</f>
        <v>1</v>
      </c>
      <c r="U392">
        <f>IF(N392-'Atsipirkimo vertinimas'!$N$20&gt;=0,0,1)</f>
        <v>0</v>
      </c>
      <c r="V392" s="92"/>
      <c r="W392" s="92"/>
      <c r="X392" s="88"/>
    </row>
    <row r="393" spans="3:24" x14ac:dyDescent="0.25">
      <c r="C393" s="88">
        <v>389</v>
      </c>
      <c r="D393" s="92">
        <f t="shared" si="42"/>
        <v>0.43903935185184628</v>
      </c>
      <c r="E393" s="92">
        <f>IF(H393=0,0,G393*('Atsipirkimo vertinimas'!$N$19)/12)</f>
        <v>-0.59151620370370928</v>
      </c>
      <c r="F393" s="92">
        <f>($G$4/('Atsipirkimo vertinimas'!$N$18*12-'Atsipirkimo vertinimas'!$N$20)*H393)</f>
        <v>0.97222222222222221</v>
      </c>
      <c r="G393" s="92">
        <f t="shared" si="45"/>
        <v>-144.86111111111248</v>
      </c>
      <c r="H393">
        <f>IF(C393-'Atsipirkimo vertinimas'!$N$20&lt;0,0,1)</f>
        <v>1</v>
      </c>
      <c r="I393" s="92"/>
      <c r="J393" s="92">
        <f t="shared" si="43"/>
        <v>0</v>
      </c>
      <c r="K393" s="92"/>
      <c r="L393" s="88"/>
      <c r="N393" s="88">
        <v>389</v>
      </c>
      <c r="O393" s="92">
        <f t="shared" si="44"/>
        <v>5.8333333333333355E-2</v>
      </c>
      <c r="P393" s="92">
        <f>IF($Z$64&lt;S393+(S393*(('Atsipirkimo vertinimas'!$N$19)/12)),($Z$64*T393)+(Q393*U393),S393+(S393*(('Atsipirkimo vertinimas'!$N$19)/12)))</f>
        <v>0</v>
      </c>
      <c r="Q393" s="92">
        <f>IF(T393=0,0,S393*('Atsipirkimo vertinimas'!$N$19)/12)</f>
        <v>0</v>
      </c>
      <c r="R393" s="92">
        <f t="shared" si="46"/>
        <v>0</v>
      </c>
      <c r="S393" s="92">
        <f t="shared" si="47"/>
        <v>0</v>
      </c>
      <c r="T393">
        <f>IF(N393-'Atsipirkimo vertinimas'!$N$20&lt;0,0,1)</f>
        <v>1</v>
      </c>
      <c r="U393">
        <f>IF(N393-'Atsipirkimo vertinimas'!$N$20&gt;=0,0,1)</f>
        <v>0</v>
      </c>
      <c r="V393" s="92"/>
      <c r="W393" s="92"/>
      <c r="X393" s="88"/>
    </row>
    <row r="394" spans="3:24" x14ac:dyDescent="0.25">
      <c r="C394" s="88">
        <v>390</v>
      </c>
      <c r="D394" s="92">
        <f t="shared" si="42"/>
        <v>0.43506944444443885</v>
      </c>
      <c r="E394" s="92">
        <f>IF(H394=0,0,G394*('Atsipirkimo vertinimas'!$N$19)/12)</f>
        <v>-0.59548611111111671</v>
      </c>
      <c r="F394" s="92">
        <f>($G$4/('Atsipirkimo vertinimas'!$N$18*12-'Atsipirkimo vertinimas'!$N$20)*H394)</f>
        <v>0.97222222222222221</v>
      </c>
      <c r="G394" s="92">
        <f t="shared" si="45"/>
        <v>-145.83333333333471</v>
      </c>
      <c r="H394">
        <f>IF(C394-'Atsipirkimo vertinimas'!$N$20&lt;0,0,1)</f>
        <v>1</v>
      </c>
      <c r="I394" s="92"/>
      <c r="J394" s="92">
        <f t="shared" si="43"/>
        <v>0</v>
      </c>
      <c r="K394" s="92"/>
      <c r="L394" s="88"/>
      <c r="N394" s="88">
        <v>390</v>
      </c>
      <c r="O394" s="92">
        <f t="shared" si="44"/>
        <v>5.8333333333333355E-2</v>
      </c>
      <c r="P394" s="92">
        <f>IF($Z$64&lt;S394+(S394*(('Atsipirkimo vertinimas'!$N$19)/12)),($Z$64*T394)+(Q394*U394),S394+(S394*(('Atsipirkimo vertinimas'!$N$19)/12)))</f>
        <v>0</v>
      </c>
      <c r="Q394" s="92">
        <f>IF(T394=0,0,S394*('Atsipirkimo vertinimas'!$N$19)/12)</f>
        <v>0</v>
      </c>
      <c r="R394" s="92">
        <f t="shared" si="46"/>
        <v>0</v>
      </c>
      <c r="S394" s="92">
        <f t="shared" si="47"/>
        <v>0</v>
      </c>
      <c r="T394">
        <f>IF(N394-'Atsipirkimo vertinimas'!$N$20&lt;0,0,1)</f>
        <v>1</v>
      </c>
      <c r="U394">
        <f>IF(N394-'Atsipirkimo vertinimas'!$N$20&gt;=0,0,1)</f>
        <v>0</v>
      </c>
      <c r="V394" s="92"/>
      <c r="W394" s="92"/>
      <c r="X394" s="88"/>
    </row>
    <row r="395" spans="3:24" x14ac:dyDescent="0.25">
      <c r="C395" s="88">
        <v>391</v>
      </c>
      <c r="D395" s="92">
        <f t="shared" si="42"/>
        <v>0.43109953703703141</v>
      </c>
      <c r="E395" s="92">
        <f>IF(H395=0,0,G395*('Atsipirkimo vertinimas'!$N$19)/12)</f>
        <v>-0.59945601851852415</v>
      </c>
      <c r="F395" s="92">
        <f>($G$4/('Atsipirkimo vertinimas'!$N$18*12-'Atsipirkimo vertinimas'!$N$20)*H395)</f>
        <v>0.97222222222222221</v>
      </c>
      <c r="G395" s="92">
        <f t="shared" si="45"/>
        <v>-146.80555555555694</v>
      </c>
      <c r="H395">
        <f>IF(C395-'Atsipirkimo vertinimas'!$N$20&lt;0,0,1)</f>
        <v>1</v>
      </c>
      <c r="I395" s="92"/>
      <c r="J395" s="92">
        <f t="shared" si="43"/>
        <v>0</v>
      </c>
      <c r="K395" s="92"/>
      <c r="L395" s="88"/>
      <c r="N395" s="88">
        <v>391</v>
      </c>
      <c r="O395" s="92">
        <f t="shared" si="44"/>
        <v>5.8333333333333355E-2</v>
      </c>
      <c r="P395" s="92">
        <f>IF($Z$64&lt;S395+(S395*(('Atsipirkimo vertinimas'!$N$19)/12)),($Z$64*T395)+(Q395*U395),S395+(S395*(('Atsipirkimo vertinimas'!$N$19)/12)))</f>
        <v>0</v>
      </c>
      <c r="Q395" s="92">
        <f>IF(T395=0,0,S395*('Atsipirkimo vertinimas'!$N$19)/12)</f>
        <v>0</v>
      </c>
      <c r="R395" s="92">
        <f t="shared" si="46"/>
        <v>0</v>
      </c>
      <c r="S395" s="92">
        <f t="shared" si="47"/>
        <v>0</v>
      </c>
      <c r="T395">
        <f>IF(N395-'Atsipirkimo vertinimas'!$N$20&lt;0,0,1)</f>
        <v>1</v>
      </c>
      <c r="U395">
        <f>IF(N395-'Atsipirkimo vertinimas'!$N$20&gt;=0,0,1)</f>
        <v>0</v>
      </c>
      <c r="V395" s="92"/>
      <c r="W395" s="92"/>
      <c r="X395" s="88"/>
    </row>
    <row r="396" spans="3:24" x14ac:dyDescent="0.25">
      <c r="C396" s="88">
        <v>392</v>
      </c>
      <c r="D396" s="92">
        <f t="shared" si="42"/>
        <v>0.42712962962962397</v>
      </c>
      <c r="E396" s="92">
        <f>IF(H396=0,0,G396*('Atsipirkimo vertinimas'!$N$19)/12)</f>
        <v>-0.60342592592593158</v>
      </c>
      <c r="F396" s="92">
        <f>($G$4/('Atsipirkimo vertinimas'!$N$18*12-'Atsipirkimo vertinimas'!$N$20)*H396)</f>
        <v>0.97222222222222221</v>
      </c>
      <c r="G396" s="92">
        <f t="shared" si="45"/>
        <v>-147.77777777777916</v>
      </c>
      <c r="H396">
        <f>IF(C396-'Atsipirkimo vertinimas'!$N$20&lt;0,0,1)</f>
        <v>1</v>
      </c>
      <c r="I396" s="92"/>
      <c r="J396" s="92">
        <f t="shared" si="43"/>
        <v>0</v>
      </c>
      <c r="K396" s="92"/>
      <c r="L396" s="88"/>
      <c r="N396" s="88">
        <v>392</v>
      </c>
      <c r="O396" s="92">
        <f t="shared" si="44"/>
        <v>5.8333333333333355E-2</v>
      </c>
      <c r="P396" s="92">
        <f>IF($Z$64&lt;S396+(S396*(('Atsipirkimo vertinimas'!$N$19)/12)),($Z$64*T396)+(Q396*U396),S396+(S396*(('Atsipirkimo vertinimas'!$N$19)/12)))</f>
        <v>0</v>
      </c>
      <c r="Q396" s="92">
        <f>IF(T396=0,0,S396*('Atsipirkimo vertinimas'!$N$19)/12)</f>
        <v>0</v>
      </c>
      <c r="R396" s="92">
        <f t="shared" si="46"/>
        <v>0</v>
      </c>
      <c r="S396" s="92">
        <f t="shared" si="47"/>
        <v>0</v>
      </c>
      <c r="T396">
        <f>IF(N396-'Atsipirkimo vertinimas'!$N$20&lt;0,0,1)</f>
        <v>1</v>
      </c>
      <c r="U396">
        <f>IF(N396-'Atsipirkimo vertinimas'!$N$20&gt;=0,0,1)</f>
        <v>0</v>
      </c>
      <c r="V396" s="92"/>
      <c r="W396" s="92"/>
      <c r="X396" s="88"/>
    </row>
    <row r="397" spans="3:24" x14ac:dyDescent="0.25">
      <c r="C397" s="88">
        <v>393</v>
      </c>
      <c r="D397" s="92">
        <f t="shared" si="42"/>
        <v>0.42315972222221654</v>
      </c>
      <c r="E397" s="92">
        <f>IF(H397=0,0,G397*('Atsipirkimo vertinimas'!$N$19)/12)</f>
        <v>-0.60739583333333902</v>
      </c>
      <c r="F397" s="92">
        <f>($G$4/('Atsipirkimo vertinimas'!$N$18*12-'Atsipirkimo vertinimas'!$N$20)*H397)</f>
        <v>0.97222222222222221</v>
      </c>
      <c r="G397" s="92">
        <f t="shared" si="45"/>
        <v>-148.75000000000139</v>
      </c>
      <c r="H397">
        <f>IF(C397-'Atsipirkimo vertinimas'!$N$20&lt;0,0,1)</f>
        <v>1</v>
      </c>
      <c r="I397" s="92"/>
      <c r="J397" s="92">
        <f t="shared" si="43"/>
        <v>0</v>
      </c>
      <c r="K397" s="92"/>
      <c r="L397" s="88"/>
      <c r="N397" s="88">
        <v>393</v>
      </c>
      <c r="O397" s="92">
        <f t="shared" si="44"/>
        <v>5.8333333333333355E-2</v>
      </c>
      <c r="P397" s="92">
        <f>IF($Z$64&lt;S397+(S397*(('Atsipirkimo vertinimas'!$N$19)/12)),($Z$64*T397)+(Q397*U397),S397+(S397*(('Atsipirkimo vertinimas'!$N$19)/12)))</f>
        <v>0</v>
      </c>
      <c r="Q397" s="92">
        <f>IF(T397=0,0,S397*('Atsipirkimo vertinimas'!$N$19)/12)</f>
        <v>0</v>
      </c>
      <c r="R397" s="92">
        <f t="shared" si="46"/>
        <v>0</v>
      </c>
      <c r="S397" s="92">
        <f t="shared" si="47"/>
        <v>0</v>
      </c>
      <c r="T397">
        <f>IF(N397-'Atsipirkimo vertinimas'!$N$20&lt;0,0,1)</f>
        <v>1</v>
      </c>
      <c r="U397">
        <f>IF(N397-'Atsipirkimo vertinimas'!$N$20&gt;=0,0,1)</f>
        <v>0</v>
      </c>
      <c r="V397" s="92"/>
      <c r="W397" s="92"/>
      <c r="X397" s="88"/>
    </row>
    <row r="398" spans="3:24" x14ac:dyDescent="0.25">
      <c r="C398" s="88">
        <v>394</v>
      </c>
      <c r="D398" s="92">
        <f t="shared" si="42"/>
        <v>0.4191898148148091</v>
      </c>
      <c r="E398" s="92">
        <f>IF(H398=0,0,G398*('Atsipirkimo vertinimas'!$N$19)/12)</f>
        <v>-0.61136574074074646</v>
      </c>
      <c r="F398" s="92">
        <f>($G$4/('Atsipirkimo vertinimas'!$N$18*12-'Atsipirkimo vertinimas'!$N$20)*H398)</f>
        <v>0.97222222222222221</v>
      </c>
      <c r="G398" s="92">
        <f t="shared" si="45"/>
        <v>-149.72222222222362</v>
      </c>
      <c r="H398">
        <f>IF(C398-'Atsipirkimo vertinimas'!$N$20&lt;0,0,1)</f>
        <v>1</v>
      </c>
      <c r="I398" s="92"/>
      <c r="J398" s="92">
        <f t="shared" si="43"/>
        <v>0</v>
      </c>
      <c r="K398" s="92"/>
      <c r="L398" s="88"/>
      <c r="N398" s="88">
        <v>394</v>
      </c>
      <c r="O398" s="92">
        <f t="shared" si="44"/>
        <v>5.8333333333333355E-2</v>
      </c>
      <c r="P398" s="92">
        <f>IF($Z$64&lt;S398+(S398*(('Atsipirkimo vertinimas'!$N$19)/12)),($Z$64*T398)+(Q398*U398),S398+(S398*(('Atsipirkimo vertinimas'!$N$19)/12)))</f>
        <v>0</v>
      </c>
      <c r="Q398" s="92">
        <f>IF(T398=0,0,S398*('Atsipirkimo vertinimas'!$N$19)/12)</f>
        <v>0</v>
      </c>
      <c r="R398" s="92">
        <f t="shared" si="46"/>
        <v>0</v>
      </c>
      <c r="S398" s="92">
        <f t="shared" si="47"/>
        <v>0</v>
      </c>
      <c r="T398">
        <f>IF(N398-'Atsipirkimo vertinimas'!$N$20&lt;0,0,1)</f>
        <v>1</v>
      </c>
      <c r="U398">
        <f>IF(N398-'Atsipirkimo vertinimas'!$N$20&gt;=0,0,1)</f>
        <v>0</v>
      </c>
      <c r="V398" s="92"/>
      <c r="W398" s="92"/>
      <c r="X398" s="88"/>
    </row>
    <row r="399" spans="3:24" x14ac:dyDescent="0.25">
      <c r="C399" s="88">
        <v>395</v>
      </c>
      <c r="D399" s="92">
        <f t="shared" si="42"/>
        <v>0.41521990740740167</v>
      </c>
      <c r="E399" s="92">
        <f>IF(H399=0,0,G399*('Atsipirkimo vertinimas'!$N$19)/12)</f>
        <v>-0.61533564814815389</v>
      </c>
      <c r="F399" s="92">
        <f>($G$4/('Atsipirkimo vertinimas'!$N$18*12-'Atsipirkimo vertinimas'!$N$20)*H399)</f>
        <v>0.97222222222222221</v>
      </c>
      <c r="G399" s="92">
        <f t="shared" si="45"/>
        <v>-150.69444444444585</v>
      </c>
      <c r="H399">
        <f>IF(C399-'Atsipirkimo vertinimas'!$N$20&lt;0,0,1)</f>
        <v>1</v>
      </c>
      <c r="I399" s="92"/>
      <c r="J399" s="92">
        <f t="shared" si="43"/>
        <v>0</v>
      </c>
      <c r="K399" s="92"/>
      <c r="L399" s="91">
        <f>IF('Atsipirkimo vertinimas'!$N$18*12&gt;Grafikas!C399,SUM(D388:D399),0)</f>
        <v>0</v>
      </c>
      <c r="N399" s="88">
        <v>395</v>
      </c>
      <c r="O399" s="92">
        <f t="shared" si="44"/>
        <v>5.8333333333333355E-2</v>
      </c>
      <c r="P399" s="92">
        <f>IF($Z$64&lt;S399+(S399*(('Atsipirkimo vertinimas'!$N$19)/12)),($Z$64*T399)+(Q399*U399),S399+(S399*(('Atsipirkimo vertinimas'!$N$19)/12)))</f>
        <v>0</v>
      </c>
      <c r="Q399" s="92">
        <f>IF(T399=0,0,S399*('Atsipirkimo vertinimas'!$N$19)/12)</f>
        <v>0</v>
      </c>
      <c r="R399" s="92">
        <f t="shared" si="46"/>
        <v>0</v>
      </c>
      <c r="S399" s="92">
        <f t="shared" si="47"/>
        <v>0</v>
      </c>
      <c r="T399">
        <f>IF(N399-'Atsipirkimo vertinimas'!$N$20&lt;0,0,1)</f>
        <v>1</v>
      </c>
      <c r="U399">
        <f>IF(N399-'Atsipirkimo vertinimas'!$N$20&gt;=0,0,1)</f>
        <v>0</v>
      </c>
      <c r="V399" s="92"/>
      <c r="W399" s="92"/>
      <c r="X399" s="91">
        <f>IF('Atsipirkimo vertinimas'!$N$18*12&gt;Grafikas!C399,SUM(O388:O399),0)</f>
        <v>0</v>
      </c>
    </row>
    <row r="400" spans="3:24" x14ac:dyDescent="0.25">
      <c r="C400" s="88">
        <v>396</v>
      </c>
      <c r="D400" s="92">
        <f t="shared" si="42"/>
        <v>0.41124999999999423</v>
      </c>
      <c r="E400" s="92">
        <f>IF(H400=0,0,G400*('Atsipirkimo vertinimas'!$N$19)/12)</f>
        <v>-0.61930555555556133</v>
      </c>
      <c r="F400" s="92">
        <f>($G$4/('Atsipirkimo vertinimas'!$N$18*12-'Atsipirkimo vertinimas'!$N$20)*H400)</f>
        <v>0.97222222222222221</v>
      </c>
      <c r="G400" s="92">
        <f t="shared" si="45"/>
        <v>-151.66666666666808</v>
      </c>
      <c r="H400">
        <f>IF(C400-'Atsipirkimo vertinimas'!$N$20&lt;0,0,1)</f>
        <v>1</v>
      </c>
      <c r="I400" s="92"/>
      <c r="J400" s="92">
        <f t="shared" si="43"/>
        <v>0</v>
      </c>
      <c r="K400" s="92"/>
      <c r="L400" s="88"/>
      <c r="N400" s="88">
        <v>396</v>
      </c>
      <c r="O400" s="92">
        <f t="shared" si="44"/>
        <v>5.8333333333333355E-2</v>
      </c>
      <c r="P400" s="92">
        <f>IF($Z$64&lt;S400+(S400*(('Atsipirkimo vertinimas'!$N$19)/12)),($Z$64*T400)+(Q400*U400),S400+(S400*(('Atsipirkimo vertinimas'!$N$19)/12)))</f>
        <v>0</v>
      </c>
      <c r="Q400" s="92">
        <f>IF(T400=0,0,S400*('Atsipirkimo vertinimas'!$N$19)/12)</f>
        <v>0</v>
      </c>
      <c r="R400" s="92">
        <f t="shared" si="46"/>
        <v>0</v>
      </c>
      <c r="S400" s="92">
        <f t="shared" si="47"/>
        <v>0</v>
      </c>
      <c r="T400">
        <f>IF(N400-'Atsipirkimo vertinimas'!$N$20&lt;0,0,1)</f>
        <v>1</v>
      </c>
      <c r="U400">
        <f>IF(N400-'Atsipirkimo vertinimas'!$N$20&gt;=0,0,1)</f>
        <v>0</v>
      </c>
      <c r="V400" s="92"/>
      <c r="W400" s="92"/>
      <c r="X400" s="88"/>
    </row>
    <row r="401" spans="3:24" x14ac:dyDescent="0.25">
      <c r="C401" s="88">
        <v>397</v>
      </c>
      <c r="D401" s="92">
        <f t="shared" si="42"/>
        <v>0.4072800925925868</v>
      </c>
      <c r="E401" s="92">
        <f>IF(H401=0,0,G401*('Atsipirkimo vertinimas'!$N$19)/12)</f>
        <v>-0.62327546296296876</v>
      </c>
      <c r="F401" s="92">
        <f>($G$4/('Atsipirkimo vertinimas'!$N$18*12-'Atsipirkimo vertinimas'!$N$20)*H401)</f>
        <v>0.97222222222222221</v>
      </c>
      <c r="G401" s="92">
        <f t="shared" si="45"/>
        <v>-152.63888888889031</v>
      </c>
      <c r="H401">
        <f>IF(C401-'Atsipirkimo vertinimas'!$N$20&lt;0,0,1)</f>
        <v>1</v>
      </c>
      <c r="I401" s="92"/>
      <c r="J401" s="92">
        <f t="shared" si="43"/>
        <v>0</v>
      </c>
      <c r="K401" s="92"/>
      <c r="L401" s="88"/>
      <c r="N401" s="88">
        <v>397</v>
      </c>
      <c r="O401" s="92">
        <f t="shared" si="44"/>
        <v>5.8333333333333355E-2</v>
      </c>
      <c r="P401" s="92">
        <f>IF($Z$64&lt;S401+(S401*(('Atsipirkimo vertinimas'!$N$19)/12)),($Z$64*T401)+(Q401*U401),S401+(S401*(('Atsipirkimo vertinimas'!$N$19)/12)))</f>
        <v>0</v>
      </c>
      <c r="Q401" s="92">
        <f>IF(T401=0,0,S401*('Atsipirkimo vertinimas'!$N$19)/12)</f>
        <v>0</v>
      </c>
      <c r="R401" s="92">
        <f t="shared" si="46"/>
        <v>0</v>
      </c>
      <c r="S401" s="92">
        <f t="shared" si="47"/>
        <v>0</v>
      </c>
      <c r="T401">
        <f>IF(N401-'Atsipirkimo vertinimas'!$N$20&lt;0,0,1)</f>
        <v>1</v>
      </c>
      <c r="U401">
        <f>IF(N401-'Atsipirkimo vertinimas'!$N$20&gt;=0,0,1)</f>
        <v>0</v>
      </c>
      <c r="V401" s="92"/>
      <c r="W401" s="92"/>
      <c r="X401" s="88"/>
    </row>
    <row r="402" spans="3:24" x14ac:dyDescent="0.25">
      <c r="C402" s="88">
        <v>398</v>
      </c>
      <c r="D402" s="92">
        <f t="shared" si="42"/>
        <v>0.40331018518517936</v>
      </c>
      <c r="E402" s="92">
        <f>IF(H402=0,0,G402*('Atsipirkimo vertinimas'!$N$19)/12)</f>
        <v>-0.6272453703703762</v>
      </c>
      <c r="F402" s="92">
        <f>($G$4/('Atsipirkimo vertinimas'!$N$18*12-'Atsipirkimo vertinimas'!$N$20)*H402)</f>
        <v>0.97222222222222221</v>
      </c>
      <c r="G402" s="92">
        <f t="shared" si="45"/>
        <v>-153.61111111111254</v>
      </c>
      <c r="H402">
        <f>IF(C402-'Atsipirkimo vertinimas'!$N$20&lt;0,0,1)</f>
        <v>1</v>
      </c>
      <c r="I402" s="92"/>
      <c r="J402" s="92">
        <f t="shared" si="43"/>
        <v>0</v>
      </c>
      <c r="K402" s="92"/>
      <c r="L402" s="88"/>
      <c r="N402" s="88">
        <v>398</v>
      </c>
      <c r="O402" s="92">
        <f t="shared" si="44"/>
        <v>5.8333333333333355E-2</v>
      </c>
      <c r="P402" s="92">
        <f>IF($Z$64&lt;S402+(S402*(('Atsipirkimo vertinimas'!$N$19)/12)),($Z$64*T402)+(Q402*U402),S402+(S402*(('Atsipirkimo vertinimas'!$N$19)/12)))</f>
        <v>0</v>
      </c>
      <c r="Q402" s="92">
        <f>IF(T402=0,0,S402*('Atsipirkimo vertinimas'!$N$19)/12)</f>
        <v>0</v>
      </c>
      <c r="R402" s="92">
        <f t="shared" si="46"/>
        <v>0</v>
      </c>
      <c r="S402" s="92">
        <f t="shared" si="47"/>
        <v>0</v>
      </c>
      <c r="T402">
        <f>IF(N402-'Atsipirkimo vertinimas'!$N$20&lt;0,0,1)</f>
        <v>1</v>
      </c>
      <c r="U402">
        <f>IF(N402-'Atsipirkimo vertinimas'!$N$20&gt;=0,0,1)</f>
        <v>0</v>
      </c>
      <c r="V402" s="92"/>
      <c r="W402" s="92"/>
      <c r="X402" s="88"/>
    </row>
    <row r="403" spans="3:24" x14ac:dyDescent="0.25">
      <c r="C403" s="88">
        <v>399</v>
      </c>
      <c r="D403" s="92">
        <f t="shared" si="42"/>
        <v>0.39934027777777192</v>
      </c>
      <c r="E403" s="92">
        <f>IF(H403=0,0,G403*('Atsipirkimo vertinimas'!$N$19)/12)</f>
        <v>-0.63121527777778363</v>
      </c>
      <c r="F403" s="92">
        <f>($G$4/('Atsipirkimo vertinimas'!$N$18*12-'Atsipirkimo vertinimas'!$N$20)*H403)</f>
        <v>0.97222222222222221</v>
      </c>
      <c r="G403" s="92">
        <f t="shared" si="45"/>
        <v>-154.58333333333476</v>
      </c>
      <c r="H403">
        <f>IF(C403-'Atsipirkimo vertinimas'!$N$20&lt;0,0,1)</f>
        <v>1</v>
      </c>
      <c r="I403" s="92"/>
      <c r="J403" s="92">
        <f t="shared" si="43"/>
        <v>0</v>
      </c>
      <c r="K403" s="92"/>
      <c r="L403" s="88"/>
      <c r="N403" s="88">
        <v>399</v>
      </c>
      <c r="O403" s="92">
        <f t="shared" si="44"/>
        <v>5.8333333333333355E-2</v>
      </c>
      <c r="P403" s="92">
        <f>IF($Z$64&lt;S403+(S403*(('Atsipirkimo vertinimas'!$N$19)/12)),($Z$64*T403)+(Q403*U403),S403+(S403*(('Atsipirkimo vertinimas'!$N$19)/12)))</f>
        <v>0</v>
      </c>
      <c r="Q403" s="92">
        <f>IF(T403=0,0,S403*('Atsipirkimo vertinimas'!$N$19)/12)</f>
        <v>0</v>
      </c>
      <c r="R403" s="92">
        <f t="shared" si="46"/>
        <v>0</v>
      </c>
      <c r="S403" s="92">
        <f t="shared" si="47"/>
        <v>0</v>
      </c>
      <c r="T403">
        <f>IF(N403-'Atsipirkimo vertinimas'!$N$20&lt;0,0,1)</f>
        <v>1</v>
      </c>
      <c r="U403">
        <f>IF(N403-'Atsipirkimo vertinimas'!$N$20&gt;=0,0,1)</f>
        <v>0</v>
      </c>
      <c r="V403" s="92"/>
      <c r="W403" s="92"/>
      <c r="X403" s="88"/>
    </row>
    <row r="404" spans="3:24" x14ac:dyDescent="0.25">
      <c r="C404" s="88">
        <v>400</v>
      </c>
      <c r="D404" s="92">
        <f t="shared" si="42"/>
        <v>0.39537037037036449</v>
      </c>
      <c r="E404" s="92">
        <f>IF(H404=0,0,G404*('Atsipirkimo vertinimas'!$N$19)/12)</f>
        <v>-0.63518518518519107</v>
      </c>
      <c r="F404" s="92">
        <f>($G$4/('Atsipirkimo vertinimas'!$N$18*12-'Atsipirkimo vertinimas'!$N$20)*H404)</f>
        <v>0.97222222222222221</v>
      </c>
      <c r="G404" s="92">
        <f t="shared" si="45"/>
        <v>-155.55555555555699</v>
      </c>
      <c r="H404">
        <f>IF(C404-'Atsipirkimo vertinimas'!$N$20&lt;0,0,1)</f>
        <v>1</v>
      </c>
      <c r="I404" s="92"/>
      <c r="J404" s="92">
        <f t="shared" si="43"/>
        <v>0</v>
      </c>
      <c r="K404" s="92"/>
      <c r="L404" s="88"/>
      <c r="N404" s="88">
        <v>400</v>
      </c>
      <c r="O404" s="92">
        <f t="shared" si="44"/>
        <v>5.8333333333333355E-2</v>
      </c>
      <c r="P404" s="92">
        <f>IF($Z$64&lt;S404+(S404*(('Atsipirkimo vertinimas'!$N$19)/12)),($Z$64*T404)+(Q404*U404),S404+(S404*(('Atsipirkimo vertinimas'!$N$19)/12)))</f>
        <v>0</v>
      </c>
      <c r="Q404" s="92">
        <f>IF(T404=0,0,S404*('Atsipirkimo vertinimas'!$N$19)/12)</f>
        <v>0</v>
      </c>
      <c r="R404" s="92">
        <f t="shared" si="46"/>
        <v>0</v>
      </c>
      <c r="S404" s="92">
        <f t="shared" si="47"/>
        <v>0</v>
      </c>
      <c r="T404">
        <f>IF(N404-'Atsipirkimo vertinimas'!$N$20&lt;0,0,1)</f>
        <v>1</v>
      </c>
      <c r="U404">
        <f>IF(N404-'Atsipirkimo vertinimas'!$N$20&gt;=0,0,1)</f>
        <v>0</v>
      </c>
      <c r="V404" s="92"/>
      <c r="W404" s="92"/>
      <c r="X404" s="88"/>
    </row>
    <row r="405" spans="3:24" x14ac:dyDescent="0.25">
      <c r="C405" s="88">
        <v>401</v>
      </c>
      <c r="D405" s="92">
        <f t="shared" si="42"/>
        <v>0.39140046296295705</v>
      </c>
      <c r="E405" s="92">
        <f>IF(H405=0,0,G405*('Atsipirkimo vertinimas'!$N$19)/12)</f>
        <v>-0.63915509259259851</v>
      </c>
      <c r="F405" s="92">
        <f>($G$4/('Atsipirkimo vertinimas'!$N$18*12-'Atsipirkimo vertinimas'!$N$20)*H405)</f>
        <v>0.97222222222222221</v>
      </c>
      <c r="G405" s="92">
        <f t="shared" si="45"/>
        <v>-156.52777777777922</v>
      </c>
      <c r="H405">
        <f>IF(C405-'Atsipirkimo vertinimas'!$N$20&lt;0,0,1)</f>
        <v>1</v>
      </c>
      <c r="I405" s="92"/>
      <c r="J405" s="92">
        <f t="shared" si="43"/>
        <v>0</v>
      </c>
      <c r="K405" s="92"/>
      <c r="L405" s="88"/>
      <c r="N405" s="88">
        <v>401</v>
      </c>
      <c r="O405" s="92">
        <f t="shared" si="44"/>
        <v>5.8333333333333355E-2</v>
      </c>
      <c r="P405" s="92">
        <f>IF($Z$64&lt;S405+(S405*(('Atsipirkimo vertinimas'!$N$19)/12)),($Z$64*T405)+(Q405*U405),S405+(S405*(('Atsipirkimo vertinimas'!$N$19)/12)))</f>
        <v>0</v>
      </c>
      <c r="Q405" s="92">
        <f>IF(T405=0,0,S405*('Atsipirkimo vertinimas'!$N$19)/12)</f>
        <v>0</v>
      </c>
      <c r="R405" s="92">
        <f t="shared" si="46"/>
        <v>0</v>
      </c>
      <c r="S405" s="92">
        <f t="shared" si="47"/>
        <v>0</v>
      </c>
      <c r="T405">
        <f>IF(N405-'Atsipirkimo vertinimas'!$N$20&lt;0,0,1)</f>
        <v>1</v>
      </c>
      <c r="U405">
        <f>IF(N405-'Atsipirkimo vertinimas'!$N$20&gt;=0,0,1)</f>
        <v>0</v>
      </c>
      <c r="V405" s="92"/>
      <c r="W405" s="92"/>
      <c r="X405" s="88"/>
    </row>
    <row r="406" spans="3:24" x14ac:dyDescent="0.25">
      <c r="C406" s="88">
        <v>402</v>
      </c>
      <c r="D406" s="92">
        <f t="shared" si="42"/>
        <v>0.38743055555554962</v>
      </c>
      <c r="E406" s="92">
        <f>IF(H406=0,0,G406*('Atsipirkimo vertinimas'!$N$19)/12)</f>
        <v>-0.64312500000000594</v>
      </c>
      <c r="F406" s="92">
        <f>($G$4/('Atsipirkimo vertinimas'!$N$18*12-'Atsipirkimo vertinimas'!$N$20)*H406)</f>
        <v>0.97222222222222221</v>
      </c>
      <c r="G406" s="92">
        <f t="shared" si="45"/>
        <v>-157.50000000000145</v>
      </c>
      <c r="H406">
        <f>IF(C406-'Atsipirkimo vertinimas'!$N$20&lt;0,0,1)</f>
        <v>1</v>
      </c>
      <c r="I406" s="92"/>
      <c r="J406" s="92">
        <f t="shared" si="43"/>
        <v>0</v>
      </c>
      <c r="K406" s="92"/>
      <c r="L406" s="88"/>
      <c r="N406" s="88">
        <v>402</v>
      </c>
      <c r="O406" s="92">
        <f t="shared" si="44"/>
        <v>5.8333333333333355E-2</v>
      </c>
      <c r="P406" s="92">
        <f>IF($Z$64&lt;S406+(S406*(('Atsipirkimo vertinimas'!$N$19)/12)),($Z$64*T406)+(Q406*U406),S406+(S406*(('Atsipirkimo vertinimas'!$N$19)/12)))</f>
        <v>0</v>
      </c>
      <c r="Q406" s="92">
        <f>IF(T406=0,0,S406*('Atsipirkimo vertinimas'!$N$19)/12)</f>
        <v>0</v>
      </c>
      <c r="R406" s="92">
        <f t="shared" si="46"/>
        <v>0</v>
      </c>
      <c r="S406" s="92">
        <f t="shared" si="47"/>
        <v>0</v>
      </c>
      <c r="T406">
        <f>IF(N406-'Atsipirkimo vertinimas'!$N$20&lt;0,0,1)</f>
        <v>1</v>
      </c>
      <c r="U406">
        <f>IF(N406-'Atsipirkimo vertinimas'!$N$20&gt;=0,0,1)</f>
        <v>0</v>
      </c>
      <c r="V406" s="92"/>
      <c r="W406" s="92"/>
      <c r="X406" s="88"/>
    </row>
    <row r="407" spans="3:24" x14ac:dyDescent="0.25">
      <c r="C407" s="88">
        <v>403</v>
      </c>
      <c r="D407" s="92">
        <f t="shared" si="42"/>
        <v>0.38346064814814218</v>
      </c>
      <c r="E407" s="92">
        <f>IF(H407=0,0,G407*('Atsipirkimo vertinimas'!$N$19)/12)</f>
        <v>-0.64709490740741338</v>
      </c>
      <c r="F407" s="92">
        <f>($G$4/('Atsipirkimo vertinimas'!$N$18*12-'Atsipirkimo vertinimas'!$N$20)*H407)</f>
        <v>0.97222222222222221</v>
      </c>
      <c r="G407" s="92">
        <f t="shared" si="45"/>
        <v>-158.47222222222368</v>
      </c>
      <c r="H407">
        <f>IF(C407-'Atsipirkimo vertinimas'!$N$20&lt;0,0,1)</f>
        <v>1</v>
      </c>
      <c r="I407" s="92"/>
      <c r="J407" s="92">
        <f t="shared" si="43"/>
        <v>0</v>
      </c>
      <c r="K407" s="92"/>
      <c r="L407" s="88"/>
      <c r="N407" s="88">
        <v>403</v>
      </c>
      <c r="O407" s="92">
        <f t="shared" si="44"/>
        <v>5.8333333333333355E-2</v>
      </c>
      <c r="P407" s="92">
        <f>IF($Z$64&lt;S407+(S407*(('Atsipirkimo vertinimas'!$N$19)/12)),($Z$64*T407)+(Q407*U407),S407+(S407*(('Atsipirkimo vertinimas'!$N$19)/12)))</f>
        <v>0</v>
      </c>
      <c r="Q407" s="92">
        <f>IF(T407=0,0,S407*('Atsipirkimo vertinimas'!$N$19)/12)</f>
        <v>0</v>
      </c>
      <c r="R407" s="92">
        <f t="shared" si="46"/>
        <v>0</v>
      </c>
      <c r="S407" s="92">
        <f t="shared" si="47"/>
        <v>0</v>
      </c>
      <c r="T407">
        <f>IF(N407-'Atsipirkimo vertinimas'!$N$20&lt;0,0,1)</f>
        <v>1</v>
      </c>
      <c r="U407">
        <f>IF(N407-'Atsipirkimo vertinimas'!$N$20&gt;=0,0,1)</f>
        <v>0</v>
      </c>
      <c r="V407" s="92"/>
      <c r="W407" s="92"/>
      <c r="X407" s="88"/>
    </row>
    <row r="408" spans="3:24" x14ac:dyDescent="0.25">
      <c r="C408" s="88">
        <v>404</v>
      </c>
      <c r="D408" s="92">
        <f t="shared" si="42"/>
        <v>0.37949074074073474</v>
      </c>
      <c r="E408" s="92">
        <f>IF(H408=0,0,G408*('Atsipirkimo vertinimas'!$N$19)/12)</f>
        <v>-0.65106481481482081</v>
      </c>
      <c r="F408" s="92">
        <f>($G$4/('Atsipirkimo vertinimas'!$N$18*12-'Atsipirkimo vertinimas'!$N$20)*H408)</f>
        <v>0.97222222222222221</v>
      </c>
      <c r="G408" s="92">
        <f t="shared" si="45"/>
        <v>-159.44444444444591</v>
      </c>
      <c r="H408">
        <f>IF(C408-'Atsipirkimo vertinimas'!$N$20&lt;0,0,1)</f>
        <v>1</v>
      </c>
      <c r="I408" s="92"/>
      <c r="J408" s="92">
        <f t="shared" si="43"/>
        <v>0</v>
      </c>
      <c r="K408" s="92"/>
      <c r="L408" s="88"/>
      <c r="N408" s="88">
        <v>404</v>
      </c>
      <c r="O408" s="92">
        <f t="shared" si="44"/>
        <v>5.8333333333333355E-2</v>
      </c>
      <c r="P408" s="92">
        <f>IF($Z$64&lt;S408+(S408*(('Atsipirkimo vertinimas'!$N$19)/12)),($Z$64*T408)+(Q408*U408),S408+(S408*(('Atsipirkimo vertinimas'!$N$19)/12)))</f>
        <v>0</v>
      </c>
      <c r="Q408" s="92">
        <f>IF(T408=0,0,S408*('Atsipirkimo vertinimas'!$N$19)/12)</f>
        <v>0</v>
      </c>
      <c r="R408" s="92">
        <f t="shared" si="46"/>
        <v>0</v>
      </c>
      <c r="S408" s="92">
        <f t="shared" si="47"/>
        <v>0</v>
      </c>
      <c r="T408">
        <f>IF(N408-'Atsipirkimo vertinimas'!$N$20&lt;0,0,1)</f>
        <v>1</v>
      </c>
      <c r="U408">
        <f>IF(N408-'Atsipirkimo vertinimas'!$N$20&gt;=0,0,1)</f>
        <v>0</v>
      </c>
      <c r="V408" s="92"/>
      <c r="W408" s="92"/>
      <c r="X408" s="88"/>
    </row>
    <row r="409" spans="3:24" x14ac:dyDescent="0.25">
      <c r="C409" s="88">
        <v>405</v>
      </c>
      <c r="D409" s="92">
        <f t="shared" si="42"/>
        <v>0.37552083333332731</v>
      </c>
      <c r="E409" s="92">
        <f>IF(H409=0,0,G409*('Atsipirkimo vertinimas'!$N$19)/12)</f>
        <v>-0.65503472222222825</v>
      </c>
      <c r="F409" s="92">
        <f>($G$4/('Atsipirkimo vertinimas'!$N$18*12-'Atsipirkimo vertinimas'!$N$20)*H409)</f>
        <v>0.97222222222222221</v>
      </c>
      <c r="G409" s="92">
        <f t="shared" si="45"/>
        <v>-160.41666666666814</v>
      </c>
      <c r="H409">
        <f>IF(C409-'Atsipirkimo vertinimas'!$N$20&lt;0,0,1)</f>
        <v>1</v>
      </c>
      <c r="I409" s="92"/>
      <c r="J409" s="92">
        <f t="shared" si="43"/>
        <v>0</v>
      </c>
      <c r="K409" s="92"/>
      <c r="L409" s="88"/>
      <c r="N409" s="88">
        <v>405</v>
      </c>
      <c r="O409" s="92">
        <f t="shared" si="44"/>
        <v>5.8333333333333355E-2</v>
      </c>
      <c r="P409" s="92">
        <f>IF($Z$64&lt;S409+(S409*(('Atsipirkimo vertinimas'!$N$19)/12)),($Z$64*T409)+(Q409*U409),S409+(S409*(('Atsipirkimo vertinimas'!$N$19)/12)))</f>
        <v>0</v>
      </c>
      <c r="Q409" s="92">
        <f>IF(T409=0,0,S409*('Atsipirkimo vertinimas'!$N$19)/12)</f>
        <v>0</v>
      </c>
      <c r="R409" s="92">
        <f t="shared" si="46"/>
        <v>0</v>
      </c>
      <c r="S409" s="92">
        <f t="shared" si="47"/>
        <v>0</v>
      </c>
      <c r="T409">
        <f>IF(N409-'Atsipirkimo vertinimas'!$N$20&lt;0,0,1)</f>
        <v>1</v>
      </c>
      <c r="U409">
        <f>IF(N409-'Atsipirkimo vertinimas'!$N$20&gt;=0,0,1)</f>
        <v>0</v>
      </c>
      <c r="V409" s="92"/>
      <c r="W409" s="92"/>
      <c r="X409" s="88"/>
    </row>
    <row r="410" spans="3:24" x14ac:dyDescent="0.25">
      <c r="C410" s="88">
        <v>406</v>
      </c>
      <c r="D410" s="92">
        <f t="shared" si="42"/>
        <v>0.37155092592591987</v>
      </c>
      <c r="E410" s="92">
        <f>IF(H410=0,0,G410*('Atsipirkimo vertinimas'!$N$19)/12)</f>
        <v>-0.65900462962963569</v>
      </c>
      <c r="F410" s="92">
        <f>($G$4/('Atsipirkimo vertinimas'!$N$18*12-'Atsipirkimo vertinimas'!$N$20)*H410)</f>
        <v>0.97222222222222221</v>
      </c>
      <c r="G410" s="92">
        <f t="shared" si="45"/>
        <v>-161.38888888889036</v>
      </c>
      <c r="H410">
        <f>IF(C410-'Atsipirkimo vertinimas'!$N$20&lt;0,0,1)</f>
        <v>1</v>
      </c>
      <c r="I410" s="92"/>
      <c r="J410" s="92">
        <f t="shared" si="43"/>
        <v>0</v>
      </c>
      <c r="K410" s="92"/>
      <c r="L410" s="88"/>
      <c r="N410" s="88">
        <v>406</v>
      </c>
      <c r="O410" s="92">
        <f t="shared" si="44"/>
        <v>5.8333333333333355E-2</v>
      </c>
      <c r="P410" s="92">
        <f>IF($Z$64&lt;S410+(S410*(('Atsipirkimo vertinimas'!$N$19)/12)),($Z$64*T410)+(Q410*U410),S410+(S410*(('Atsipirkimo vertinimas'!$N$19)/12)))</f>
        <v>0</v>
      </c>
      <c r="Q410" s="92">
        <f>IF(T410=0,0,S410*('Atsipirkimo vertinimas'!$N$19)/12)</f>
        <v>0</v>
      </c>
      <c r="R410" s="92">
        <f t="shared" si="46"/>
        <v>0</v>
      </c>
      <c r="S410" s="92">
        <f t="shared" si="47"/>
        <v>0</v>
      </c>
      <c r="T410">
        <f>IF(N410-'Atsipirkimo vertinimas'!$N$20&lt;0,0,1)</f>
        <v>1</v>
      </c>
      <c r="U410">
        <f>IF(N410-'Atsipirkimo vertinimas'!$N$20&gt;=0,0,1)</f>
        <v>0</v>
      </c>
      <c r="V410" s="92"/>
      <c r="W410" s="92"/>
      <c r="X410" s="88"/>
    </row>
    <row r="411" spans="3:24" x14ac:dyDescent="0.25">
      <c r="C411" s="88">
        <v>407</v>
      </c>
      <c r="D411" s="92">
        <f t="shared" si="42"/>
        <v>0.36758101851851244</v>
      </c>
      <c r="E411" s="92">
        <f>IF(H411=0,0,G411*('Atsipirkimo vertinimas'!$N$19)/12)</f>
        <v>-0.66297453703704312</v>
      </c>
      <c r="F411" s="92">
        <f>($G$4/('Atsipirkimo vertinimas'!$N$18*12-'Atsipirkimo vertinimas'!$N$20)*H411)</f>
        <v>0.97222222222222221</v>
      </c>
      <c r="G411" s="92">
        <f t="shared" si="45"/>
        <v>-162.36111111111259</v>
      </c>
      <c r="H411">
        <f>IF(C411-'Atsipirkimo vertinimas'!$N$20&lt;0,0,1)</f>
        <v>1</v>
      </c>
      <c r="I411" s="92"/>
      <c r="J411" s="92">
        <f t="shared" si="43"/>
        <v>0</v>
      </c>
      <c r="K411" s="92"/>
      <c r="L411" s="91">
        <f>IF('Atsipirkimo vertinimas'!$N$18*12&gt;Grafikas!C411,SUM(D400:D411),0)</f>
        <v>0</v>
      </c>
      <c r="N411" s="88">
        <v>407</v>
      </c>
      <c r="O411" s="92">
        <f t="shared" si="44"/>
        <v>5.8333333333333355E-2</v>
      </c>
      <c r="P411" s="92">
        <f>IF($Z$64&lt;S411+(S411*(('Atsipirkimo vertinimas'!$N$19)/12)),($Z$64*T411)+(Q411*U411),S411+(S411*(('Atsipirkimo vertinimas'!$N$19)/12)))</f>
        <v>0</v>
      </c>
      <c r="Q411" s="92">
        <f>IF(T411=0,0,S411*('Atsipirkimo vertinimas'!$N$19)/12)</f>
        <v>0</v>
      </c>
      <c r="R411" s="92">
        <f t="shared" si="46"/>
        <v>0</v>
      </c>
      <c r="S411" s="92">
        <f t="shared" si="47"/>
        <v>0</v>
      </c>
      <c r="T411">
        <f>IF(N411-'Atsipirkimo vertinimas'!$N$20&lt;0,0,1)</f>
        <v>1</v>
      </c>
      <c r="U411">
        <f>IF(N411-'Atsipirkimo vertinimas'!$N$20&gt;=0,0,1)</f>
        <v>0</v>
      </c>
      <c r="V411" s="92"/>
      <c r="W411" s="92"/>
      <c r="X411" s="91">
        <f>IF('Atsipirkimo vertinimas'!$N$18*12&gt;Grafikas!C411,SUM(O400:O411),0)</f>
        <v>0</v>
      </c>
    </row>
    <row r="412" spans="3:24" x14ac:dyDescent="0.25">
      <c r="C412" s="88">
        <v>408</v>
      </c>
      <c r="D412" s="92">
        <f t="shared" si="42"/>
        <v>0.363611111111105</v>
      </c>
      <c r="E412" s="92">
        <f>IF(H412=0,0,G412*('Atsipirkimo vertinimas'!$N$19)/12)</f>
        <v>-0.66694444444445056</v>
      </c>
      <c r="F412" s="92">
        <f>($G$4/('Atsipirkimo vertinimas'!$N$18*12-'Atsipirkimo vertinimas'!$N$20)*H412)</f>
        <v>0.97222222222222221</v>
      </c>
      <c r="G412" s="92">
        <f t="shared" si="45"/>
        <v>-163.33333333333482</v>
      </c>
      <c r="H412">
        <f>IF(C412-'Atsipirkimo vertinimas'!$N$20&lt;0,0,1)</f>
        <v>1</v>
      </c>
      <c r="I412" s="92"/>
      <c r="J412" s="92">
        <f t="shared" si="43"/>
        <v>0</v>
      </c>
      <c r="K412" s="92"/>
      <c r="L412" s="88"/>
      <c r="N412" s="88">
        <v>408</v>
      </c>
      <c r="O412" s="92">
        <f t="shared" si="44"/>
        <v>5.8333333333333355E-2</v>
      </c>
      <c r="P412" s="92">
        <f>IF($Z$64&lt;S412+(S412*(('Atsipirkimo vertinimas'!$N$19)/12)),($Z$64*T412)+(Q412*U412),S412+(S412*(('Atsipirkimo vertinimas'!$N$19)/12)))</f>
        <v>0</v>
      </c>
      <c r="Q412" s="92">
        <f>IF(T412=0,0,S412*('Atsipirkimo vertinimas'!$N$19)/12)</f>
        <v>0</v>
      </c>
      <c r="R412" s="92">
        <f t="shared" si="46"/>
        <v>0</v>
      </c>
      <c r="S412" s="92">
        <f t="shared" si="47"/>
        <v>0</v>
      </c>
      <c r="T412">
        <f>IF(N412-'Atsipirkimo vertinimas'!$N$20&lt;0,0,1)</f>
        <v>1</v>
      </c>
      <c r="U412">
        <f>IF(N412-'Atsipirkimo vertinimas'!$N$20&gt;=0,0,1)</f>
        <v>0</v>
      </c>
      <c r="V412" s="92"/>
      <c r="W412" s="92"/>
      <c r="X412" s="88"/>
    </row>
    <row r="413" spans="3:24" x14ac:dyDescent="0.25">
      <c r="C413" s="88">
        <v>409</v>
      </c>
      <c r="D413" s="92">
        <f t="shared" si="42"/>
        <v>0.35964120370369757</v>
      </c>
      <c r="E413" s="92">
        <f>IF(H413=0,0,G413*('Atsipirkimo vertinimas'!$N$19)/12)</f>
        <v>-0.67091435185185799</v>
      </c>
      <c r="F413" s="92">
        <f>($G$4/('Atsipirkimo vertinimas'!$N$18*12-'Atsipirkimo vertinimas'!$N$20)*H413)</f>
        <v>0.97222222222222221</v>
      </c>
      <c r="G413" s="92">
        <f t="shared" si="45"/>
        <v>-164.30555555555705</v>
      </c>
      <c r="H413">
        <f>IF(C413-'Atsipirkimo vertinimas'!$N$20&lt;0,0,1)</f>
        <v>1</v>
      </c>
      <c r="I413" s="92"/>
      <c r="J413" s="92">
        <f t="shared" si="43"/>
        <v>0</v>
      </c>
      <c r="K413" s="92"/>
      <c r="L413" s="88"/>
      <c r="N413" s="88">
        <v>409</v>
      </c>
      <c r="O413" s="92">
        <f t="shared" si="44"/>
        <v>5.8333333333333355E-2</v>
      </c>
      <c r="P413" s="92">
        <f>IF($Z$64&lt;S413+(S413*(('Atsipirkimo vertinimas'!$N$19)/12)),($Z$64*T413)+(Q413*U413),S413+(S413*(('Atsipirkimo vertinimas'!$N$19)/12)))</f>
        <v>0</v>
      </c>
      <c r="Q413" s="92">
        <f>IF(T413=0,0,S413*('Atsipirkimo vertinimas'!$N$19)/12)</f>
        <v>0</v>
      </c>
      <c r="R413" s="92">
        <f t="shared" si="46"/>
        <v>0</v>
      </c>
      <c r="S413" s="92">
        <f t="shared" si="47"/>
        <v>0</v>
      </c>
      <c r="T413">
        <f>IF(N413-'Atsipirkimo vertinimas'!$N$20&lt;0,0,1)</f>
        <v>1</v>
      </c>
      <c r="U413">
        <f>IF(N413-'Atsipirkimo vertinimas'!$N$20&gt;=0,0,1)</f>
        <v>0</v>
      </c>
      <c r="V413" s="92"/>
      <c r="W413" s="92"/>
      <c r="X413" s="88"/>
    </row>
    <row r="414" spans="3:24" x14ac:dyDescent="0.25">
      <c r="C414" s="88">
        <v>410</v>
      </c>
      <c r="D414" s="92">
        <f t="shared" si="42"/>
        <v>0.35567129629629024</v>
      </c>
      <c r="E414" s="92">
        <f>IF(H414=0,0,G414*('Atsipirkimo vertinimas'!$N$19)/12)</f>
        <v>-0.67488425925926532</v>
      </c>
      <c r="F414" s="92">
        <f>($G$4/('Atsipirkimo vertinimas'!$N$18*12-'Atsipirkimo vertinimas'!$N$20)*H414)</f>
        <v>0.97222222222222221</v>
      </c>
      <c r="G414" s="92">
        <f t="shared" si="45"/>
        <v>-165.27777777777928</v>
      </c>
      <c r="H414">
        <f>IF(C414-'Atsipirkimo vertinimas'!$N$20&lt;0,0,1)</f>
        <v>1</v>
      </c>
      <c r="I414" s="92"/>
      <c r="J414" s="92">
        <f t="shared" si="43"/>
        <v>0</v>
      </c>
      <c r="K414" s="92"/>
      <c r="L414" s="88"/>
      <c r="N414" s="88">
        <v>410</v>
      </c>
      <c r="O414" s="92">
        <f t="shared" si="44"/>
        <v>5.8333333333333355E-2</v>
      </c>
      <c r="P414" s="92">
        <f>IF($Z$64&lt;S414+(S414*(('Atsipirkimo vertinimas'!$N$19)/12)),($Z$64*T414)+(Q414*U414),S414+(S414*(('Atsipirkimo vertinimas'!$N$19)/12)))</f>
        <v>0</v>
      </c>
      <c r="Q414" s="92">
        <f>IF(T414=0,0,S414*('Atsipirkimo vertinimas'!$N$19)/12)</f>
        <v>0</v>
      </c>
      <c r="R414" s="92">
        <f t="shared" si="46"/>
        <v>0</v>
      </c>
      <c r="S414" s="92">
        <f t="shared" si="47"/>
        <v>0</v>
      </c>
      <c r="T414">
        <f>IF(N414-'Atsipirkimo vertinimas'!$N$20&lt;0,0,1)</f>
        <v>1</v>
      </c>
      <c r="U414">
        <f>IF(N414-'Atsipirkimo vertinimas'!$N$20&gt;=0,0,1)</f>
        <v>0</v>
      </c>
      <c r="V414" s="92"/>
      <c r="W414" s="92"/>
      <c r="X414" s="88"/>
    </row>
    <row r="415" spans="3:24" x14ac:dyDescent="0.25">
      <c r="C415" s="88">
        <v>411</v>
      </c>
      <c r="D415" s="92">
        <f t="shared" si="42"/>
        <v>0.35170138888888269</v>
      </c>
      <c r="E415" s="92">
        <f>IF(H415=0,0,G415*('Atsipirkimo vertinimas'!$N$19)/12)</f>
        <v>-0.67885416666667286</v>
      </c>
      <c r="F415" s="92">
        <f>($G$4/('Atsipirkimo vertinimas'!$N$18*12-'Atsipirkimo vertinimas'!$N$20)*H415)</f>
        <v>0.97222222222222221</v>
      </c>
      <c r="G415" s="92">
        <f t="shared" si="45"/>
        <v>-166.25000000000151</v>
      </c>
      <c r="H415">
        <f>IF(C415-'Atsipirkimo vertinimas'!$N$20&lt;0,0,1)</f>
        <v>1</v>
      </c>
      <c r="I415" s="92"/>
      <c r="J415" s="92">
        <f t="shared" si="43"/>
        <v>0</v>
      </c>
      <c r="K415" s="92"/>
      <c r="L415" s="88"/>
      <c r="N415" s="88">
        <v>411</v>
      </c>
      <c r="O415" s="92">
        <f t="shared" si="44"/>
        <v>5.8333333333333355E-2</v>
      </c>
      <c r="P415" s="92">
        <f>IF($Z$64&lt;S415+(S415*(('Atsipirkimo vertinimas'!$N$19)/12)),($Z$64*T415)+(Q415*U415),S415+(S415*(('Atsipirkimo vertinimas'!$N$19)/12)))</f>
        <v>0</v>
      </c>
      <c r="Q415" s="92">
        <f>IF(T415=0,0,S415*('Atsipirkimo vertinimas'!$N$19)/12)</f>
        <v>0</v>
      </c>
      <c r="R415" s="92">
        <f t="shared" si="46"/>
        <v>0</v>
      </c>
      <c r="S415" s="92">
        <f t="shared" si="47"/>
        <v>0</v>
      </c>
      <c r="T415">
        <f>IF(N415-'Atsipirkimo vertinimas'!$N$20&lt;0,0,1)</f>
        <v>1</v>
      </c>
      <c r="U415">
        <f>IF(N415-'Atsipirkimo vertinimas'!$N$20&gt;=0,0,1)</f>
        <v>0</v>
      </c>
      <c r="V415" s="92"/>
      <c r="W415" s="92"/>
      <c r="X415" s="88"/>
    </row>
    <row r="416" spans="3:24" x14ac:dyDescent="0.25">
      <c r="C416" s="88">
        <v>412</v>
      </c>
      <c r="D416" s="92">
        <f t="shared" si="42"/>
        <v>0.34773148148147526</v>
      </c>
      <c r="E416" s="92">
        <f>IF(H416=0,0,G416*('Atsipirkimo vertinimas'!$N$19)/12)</f>
        <v>-0.6828240740740803</v>
      </c>
      <c r="F416" s="92">
        <f>($G$4/('Atsipirkimo vertinimas'!$N$18*12-'Atsipirkimo vertinimas'!$N$20)*H416)</f>
        <v>0.97222222222222221</v>
      </c>
      <c r="G416" s="92">
        <f t="shared" si="45"/>
        <v>-167.22222222222373</v>
      </c>
      <c r="H416">
        <f>IF(C416-'Atsipirkimo vertinimas'!$N$20&lt;0,0,1)</f>
        <v>1</v>
      </c>
      <c r="I416" s="92"/>
      <c r="J416" s="92">
        <f t="shared" si="43"/>
        <v>0</v>
      </c>
      <c r="K416" s="92"/>
      <c r="L416" s="88"/>
      <c r="N416" s="88">
        <v>412</v>
      </c>
      <c r="O416" s="92">
        <f t="shared" si="44"/>
        <v>5.8333333333333355E-2</v>
      </c>
      <c r="P416" s="92">
        <f>IF($Z$64&lt;S416+(S416*(('Atsipirkimo vertinimas'!$N$19)/12)),($Z$64*T416)+(Q416*U416),S416+(S416*(('Atsipirkimo vertinimas'!$N$19)/12)))</f>
        <v>0</v>
      </c>
      <c r="Q416" s="92">
        <f>IF(T416=0,0,S416*('Atsipirkimo vertinimas'!$N$19)/12)</f>
        <v>0</v>
      </c>
      <c r="R416" s="92">
        <f t="shared" si="46"/>
        <v>0</v>
      </c>
      <c r="S416" s="92">
        <f t="shared" si="47"/>
        <v>0</v>
      </c>
      <c r="T416">
        <f>IF(N416-'Atsipirkimo vertinimas'!$N$20&lt;0,0,1)</f>
        <v>1</v>
      </c>
      <c r="U416">
        <f>IF(N416-'Atsipirkimo vertinimas'!$N$20&gt;=0,0,1)</f>
        <v>0</v>
      </c>
      <c r="V416" s="92"/>
      <c r="W416" s="92"/>
      <c r="X416" s="88"/>
    </row>
    <row r="417" spans="3:24" x14ac:dyDescent="0.25">
      <c r="C417" s="88">
        <v>413</v>
      </c>
      <c r="D417" s="92">
        <f t="shared" si="42"/>
        <v>0.34376157407406782</v>
      </c>
      <c r="E417" s="92">
        <f>IF(H417=0,0,G417*('Atsipirkimo vertinimas'!$N$19)/12)</f>
        <v>-0.68679398148148774</v>
      </c>
      <c r="F417" s="92">
        <f>($G$4/('Atsipirkimo vertinimas'!$N$18*12-'Atsipirkimo vertinimas'!$N$20)*H417)</f>
        <v>0.97222222222222221</v>
      </c>
      <c r="G417" s="92">
        <f t="shared" si="45"/>
        <v>-168.19444444444596</v>
      </c>
      <c r="H417">
        <f>IF(C417-'Atsipirkimo vertinimas'!$N$20&lt;0,0,1)</f>
        <v>1</v>
      </c>
      <c r="I417" s="92"/>
      <c r="J417" s="92">
        <f t="shared" si="43"/>
        <v>0</v>
      </c>
      <c r="K417" s="92"/>
      <c r="L417" s="88"/>
      <c r="N417" s="88">
        <v>413</v>
      </c>
      <c r="O417" s="92">
        <f t="shared" si="44"/>
        <v>5.8333333333333355E-2</v>
      </c>
      <c r="P417" s="92">
        <f>IF($Z$64&lt;S417+(S417*(('Atsipirkimo vertinimas'!$N$19)/12)),($Z$64*T417)+(Q417*U417),S417+(S417*(('Atsipirkimo vertinimas'!$N$19)/12)))</f>
        <v>0</v>
      </c>
      <c r="Q417" s="92">
        <f>IF(T417=0,0,S417*('Atsipirkimo vertinimas'!$N$19)/12)</f>
        <v>0</v>
      </c>
      <c r="R417" s="92">
        <f t="shared" si="46"/>
        <v>0</v>
      </c>
      <c r="S417" s="92">
        <f t="shared" si="47"/>
        <v>0</v>
      </c>
      <c r="T417">
        <f>IF(N417-'Atsipirkimo vertinimas'!$N$20&lt;0,0,1)</f>
        <v>1</v>
      </c>
      <c r="U417">
        <f>IF(N417-'Atsipirkimo vertinimas'!$N$20&gt;=0,0,1)</f>
        <v>0</v>
      </c>
      <c r="V417" s="92"/>
      <c r="W417" s="92"/>
      <c r="X417" s="88"/>
    </row>
    <row r="418" spans="3:24" x14ac:dyDescent="0.25">
      <c r="C418" s="88">
        <v>414</v>
      </c>
      <c r="D418" s="92">
        <f t="shared" si="42"/>
        <v>0.3397916666666605</v>
      </c>
      <c r="E418" s="92">
        <f>IF(H418=0,0,G418*('Atsipirkimo vertinimas'!$N$19)/12)</f>
        <v>-0.69076388888889506</v>
      </c>
      <c r="F418" s="92">
        <f>($G$4/('Atsipirkimo vertinimas'!$N$18*12-'Atsipirkimo vertinimas'!$N$20)*H418)</f>
        <v>0.97222222222222221</v>
      </c>
      <c r="G418" s="92">
        <f t="shared" si="45"/>
        <v>-169.16666666666819</v>
      </c>
      <c r="H418">
        <f>IF(C418-'Atsipirkimo vertinimas'!$N$20&lt;0,0,1)</f>
        <v>1</v>
      </c>
      <c r="I418" s="92"/>
      <c r="J418" s="92">
        <f t="shared" si="43"/>
        <v>0</v>
      </c>
      <c r="K418" s="92"/>
      <c r="L418" s="88"/>
      <c r="N418" s="88">
        <v>414</v>
      </c>
      <c r="O418" s="92">
        <f t="shared" si="44"/>
        <v>5.8333333333333355E-2</v>
      </c>
      <c r="P418" s="92">
        <f>IF($Z$64&lt;S418+(S418*(('Atsipirkimo vertinimas'!$N$19)/12)),($Z$64*T418)+(Q418*U418),S418+(S418*(('Atsipirkimo vertinimas'!$N$19)/12)))</f>
        <v>0</v>
      </c>
      <c r="Q418" s="92">
        <f>IF(T418=0,0,S418*('Atsipirkimo vertinimas'!$N$19)/12)</f>
        <v>0</v>
      </c>
      <c r="R418" s="92">
        <f t="shared" si="46"/>
        <v>0</v>
      </c>
      <c r="S418" s="92">
        <f t="shared" si="47"/>
        <v>0</v>
      </c>
      <c r="T418">
        <f>IF(N418-'Atsipirkimo vertinimas'!$N$20&lt;0,0,1)</f>
        <v>1</v>
      </c>
      <c r="U418">
        <f>IF(N418-'Atsipirkimo vertinimas'!$N$20&gt;=0,0,1)</f>
        <v>0</v>
      </c>
      <c r="V418" s="92"/>
      <c r="W418" s="92"/>
      <c r="X418" s="88"/>
    </row>
    <row r="419" spans="3:24" x14ac:dyDescent="0.25">
      <c r="C419" s="88">
        <v>415</v>
      </c>
      <c r="D419" s="92">
        <f t="shared" si="42"/>
        <v>0.33582175925925295</v>
      </c>
      <c r="E419" s="92">
        <f>IF(H419=0,0,G419*('Atsipirkimo vertinimas'!$N$19)/12)</f>
        <v>-0.69473379629630261</v>
      </c>
      <c r="F419" s="92">
        <f>($G$4/('Atsipirkimo vertinimas'!$N$18*12-'Atsipirkimo vertinimas'!$N$20)*H419)</f>
        <v>0.97222222222222221</v>
      </c>
      <c r="G419" s="92">
        <f t="shared" si="45"/>
        <v>-170.13888888889042</v>
      </c>
      <c r="H419">
        <f>IF(C419-'Atsipirkimo vertinimas'!$N$20&lt;0,0,1)</f>
        <v>1</v>
      </c>
      <c r="I419" s="92"/>
      <c r="J419" s="92">
        <f t="shared" si="43"/>
        <v>0</v>
      </c>
      <c r="K419" s="92"/>
      <c r="L419" s="88"/>
      <c r="N419" s="88">
        <v>415</v>
      </c>
      <c r="O419" s="92">
        <f t="shared" si="44"/>
        <v>5.8333333333333355E-2</v>
      </c>
      <c r="P419" s="92">
        <f>IF($Z$64&lt;S419+(S419*(('Atsipirkimo vertinimas'!$N$19)/12)),($Z$64*T419)+(Q419*U419),S419+(S419*(('Atsipirkimo vertinimas'!$N$19)/12)))</f>
        <v>0</v>
      </c>
      <c r="Q419" s="92">
        <f>IF(T419=0,0,S419*('Atsipirkimo vertinimas'!$N$19)/12)</f>
        <v>0</v>
      </c>
      <c r="R419" s="92">
        <f t="shared" si="46"/>
        <v>0</v>
      </c>
      <c r="S419" s="92">
        <f t="shared" si="47"/>
        <v>0</v>
      </c>
      <c r="T419">
        <f>IF(N419-'Atsipirkimo vertinimas'!$N$20&lt;0,0,1)</f>
        <v>1</v>
      </c>
      <c r="U419">
        <f>IF(N419-'Atsipirkimo vertinimas'!$N$20&gt;=0,0,1)</f>
        <v>0</v>
      </c>
      <c r="V419" s="92"/>
      <c r="W419" s="92"/>
      <c r="X419" s="88"/>
    </row>
    <row r="420" spans="3:24" x14ac:dyDescent="0.25">
      <c r="C420" s="88">
        <v>416</v>
      </c>
      <c r="D420" s="92">
        <f t="shared" si="42"/>
        <v>0.33185185185184551</v>
      </c>
      <c r="E420" s="92">
        <f>IF(H420=0,0,G420*('Atsipirkimo vertinimas'!$N$19)/12)</f>
        <v>-0.69870370370371004</v>
      </c>
      <c r="F420" s="92">
        <f>($G$4/('Atsipirkimo vertinimas'!$N$18*12-'Atsipirkimo vertinimas'!$N$20)*H420)</f>
        <v>0.97222222222222221</v>
      </c>
      <c r="G420" s="92">
        <f t="shared" si="45"/>
        <v>-171.11111111111265</v>
      </c>
      <c r="H420">
        <f>IF(C420-'Atsipirkimo vertinimas'!$N$20&lt;0,0,1)</f>
        <v>1</v>
      </c>
      <c r="I420" s="92"/>
      <c r="J420" s="92">
        <f t="shared" si="43"/>
        <v>0</v>
      </c>
      <c r="K420" s="92"/>
      <c r="L420" s="88"/>
      <c r="N420" s="88">
        <v>416</v>
      </c>
      <c r="O420" s="92">
        <f t="shared" si="44"/>
        <v>5.8333333333333355E-2</v>
      </c>
      <c r="P420" s="92">
        <f>IF($Z$64&lt;S420+(S420*(('Atsipirkimo vertinimas'!$N$19)/12)),($Z$64*T420)+(Q420*U420),S420+(S420*(('Atsipirkimo vertinimas'!$N$19)/12)))</f>
        <v>0</v>
      </c>
      <c r="Q420" s="92">
        <f>IF(T420=0,0,S420*('Atsipirkimo vertinimas'!$N$19)/12)</f>
        <v>0</v>
      </c>
      <c r="R420" s="92">
        <f t="shared" si="46"/>
        <v>0</v>
      </c>
      <c r="S420" s="92">
        <f t="shared" si="47"/>
        <v>0</v>
      </c>
      <c r="T420">
        <f>IF(N420-'Atsipirkimo vertinimas'!$N$20&lt;0,0,1)</f>
        <v>1</v>
      </c>
      <c r="U420">
        <f>IF(N420-'Atsipirkimo vertinimas'!$N$20&gt;=0,0,1)</f>
        <v>0</v>
      </c>
      <c r="V420" s="92"/>
      <c r="W420" s="92"/>
      <c r="X420" s="88"/>
    </row>
    <row r="421" spans="3:24" x14ac:dyDescent="0.25">
      <c r="C421" s="88">
        <v>417</v>
      </c>
      <c r="D421" s="92">
        <f t="shared" si="42"/>
        <v>0.32788194444443808</v>
      </c>
      <c r="E421" s="92">
        <f>IF(H421=0,0,G421*('Atsipirkimo vertinimas'!$N$19)/12)</f>
        <v>-0.70267361111111748</v>
      </c>
      <c r="F421" s="92">
        <f>($G$4/('Atsipirkimo vertinimas'!$N$18*12-'Atsipirkimo vertinimas'!$N$20)*H421)</f>
        <v>0.97222222222222221</v>
      </c>
      <c r="G421" s="92">
        <f t="shared" si="45"/>
        <v>-172.08333333333488</v>
      </c>
      <c r="H421">
        <f>IF(C421-'Atsipirkimo vertinimas'!$N$20&lt;0,0,1)</f>
        <v>1</v>
      </c>
      <c r="I421" s="92"/>
      <c r="J421" s="92">
        <f t="shared" si="43"/>
        <v>0</v>
      </c>
      <c r="K421" s="92"/>
      <c r="L421" s="88"/>
      <c r="N421" s="88">
        <v>417</v>
      </c>
      <c r="O421" s="92">
        <f t="shared" si="44"/>
        <v>5.8333333333333355E-2</v>
      </c>
      <c r="P421" s="92">
        <f>IF($Z$64&lt;S421+(S421*(('Atsipirkimo vertinimas'!$N$19)/12)),($Z$64*T421)+(Q421*U421),S421+(S421*(('Atsipirkimo vertinimas'!$N$19)/12)))</f>
        <v>0</v>
      </c>
      <c r="Q421" s="92">
        <f>IF(T421=0,0,S421*('Atsipirkimo vertinimas'!$N$19)/12)</f>
        <v>0</v>
      </c>
      <c r="R421" s="92">
        <f t="shared" si="46"/>
        <v>0</v>
      </c>
      <c r="S421" s="92">
        <f t="shared" si="47"/>
        <v>0</v>
      </c>
      <c r="T421">
        <f>IF(N421-'Atsipirkimo vertinimas'!$N$20&lt;0,0,1)</f>
        <v>1</v>
      </c>
      <c r="U421">
        <f>IF(N421-'Atsipirkimo vertinimas'!$N$20&gt;=0,0,1)</f>
        <v>0</v>
      </c>
      <c r="V421" s="92"/>
      <c r="W421" s="92"/>
      <c r="X421" s="88"/>
    </row>
    <row r="422" spans="3:24" x14ac:dyDescent="0.25">
      <c r="C422" s="88">
        <v>418</v>
      </c>
      <c r="D422" s="92">
        <f t="shared" si="42"/>
        <v>0.32391203703703075</v>
      </c>
      <c r="E422" s="92">
        <f>IF(H422=0,0,G422*('Atsipirkimo vertinimas'!$N$19)/12)</f>
        <v>-0.7066435185185248</v>
      </c>
      <c r="F422" s="92">
        <f>($G$4/('Atsipirkimo vertinimas'!$N$18*12-'Atsipirkimo vertinimas'!$N$20)*H422)</f>
        <v>0.97222222222222221</v>
      </c>
      <c r="G422" s="92">
        <f t="shared" si="45"/>
        <v>-173.05555555555711</v>
      </c>
      <c r="H422">
        <f>IF(C422-'Atsipirkimo vertinimas'!$N$20&lt;0,0,1)</f>
        <v>1</v>
      </c>
      <c r="I422" s="92"/>
      <c r="J422" s="92">
        <f t="shared" si="43"/>
        <v>0</v>
      </c>
      <c r="K422" s="92"/>
      <c r="L422" s="88"/>
      <c r="N422" s="88">
        <v>418</v>
      </c>
      <c r="O422" s="92">
        <f t="shared" si="44"/>
        <v>5.8333333333333355E-2</v>
      </c>
      <c r="P422" s="92">
        <f>IF($Z$64&lt;S422+(S422*(('Atsipirkimo vertinimas'!$N$19)/12)),($Z$64*T422)+(Q422*U422),S422+(S422*(('Atsipirkimo vertinimas'!$N$19)/12)))</f>
        <v>0</v>
      </c>
      <c r="Q422" s="92">
        <f>IF(T422=0,0,S422*('Atsipirkimo vertinimas'!$N$19)/12)</f>
        <v>0</v>
      </c>
      <c r="R422" s="92">
        <f t="shared" si="46"/>
        <v>0</v>
      </c>
      <c r="S422" s="92">
        <f t="shared" si="47"/>
        <v>0</v>
      </c>
      <c r="T422">
        <f>IF(N422-'Atsipirkimo vertinimas'!$N$20&lt;0,0,1)</f>
        <v>1</v>
      </c>
      <c r="U422">
        <f>IF(N422-'Atsipirkimo vertinimas'!$N$20&gt;=0,0,1)</f>
        <v>0</v>
      </c>
      <c r="V422" s="92"/>
      <c r="W422" s="92"/>
      <c r="X422" s="88"/>
    </row>
    <row r="423" spans="3:24" x14ac:dyDescent="0.25">
      <c r="C423" s="88">
        <v>419</v>
      </c>
      <c r="D423" s="92">
        <f t="shared" si="42"/>
        <v>0.31994212962962332</v>
      </c>
      <c r="E423" s="92">
        <f>IF(H423=0,0,G423*('Atsipirkimo vertinimas'!$N$19)/12)</f>
        <v>-0.71061342592593224</v>
      </c>
      <c r="F423" s="92">
        <f>($G$4/('Atsipirkimo vertinimas'!$N$18*12-'Atsipirkimo vertinimas'!$N$20)*H423)</f>
        <v>0.97222222222222221</v>
      </c>
      <c r="G423" s="92">
        <f t="shared" si="45"/>
        <v>-174.02777777777933</v>
      </c>
      <c r="H423">
        <f>IF(C423-'Atsipirkimo vertinimas'!$N$20&lt;0,0,1)</f>
        <v>1</v>
      </c>
      <c r="I423" s="92"/>
      <c r="J423" s="92">
        <f t="shared" si="43"/>
        <v>0</v>
      </c>
      <c r="K423" s="92"/>
      <c r="L423" s="91">
        <f>IF('Atsipirkimo vertinimas'!$N$18*12&gt;Grafikas!C423,SUM(D412:D423),0)</f>
        <v>0</v>
      </c>
      <c r="N423" s="88">
        <v>419</v>
      </c>
      <c r="O423" s="92">
        <f t="shared" si="44"/>
        <v>5.8333333333333355E-2</v>
      </c>
      <c r="P423" s="92">
        <f>IF($Z$64&lt;S423+(S423*(('Atsipirkimo vertinimas'!$N$19)/12)),($Z$64*T423)+(Q423*U423),S423+(S423*(('Atsipirkimo vertinimas'!$N$19)/12)))</f>
        <v>0</v>
      </c>
      <c r="Q423" s="92">
        <f>IF(T423=0,0,S423*('Atsipirkimo vertinimas'!$N$19)/12)</f>
        <v>0</v>
      </c>
      <c r="R423" s="92">
        <f t="shared" si="46"/>
        <v>0</v>
      </c>
      <c r="S423" s="92">
        <f t="shared" si="47"/>
        <v>0</v>
      </c>
      <c r="T423">
        <f>IF(N423-'Atsipirkimo vertinimas'!$N$20&lt;0,0,1)</f>
        <v>1</v>
      </c>
      <c r="U423">
        <f>IF(N423-'Atsipirkimo vertinimas'!$N$20&gt;=0,0,1)</f>
        <v>0</v>
      </c>
      <c r="V423" s="92"/>
      <c r="W423" s="92"/>
      <c r="X423" s="91">
        <f>IF('Atsipirkimo vertinimas'!$N$18*12&gt;Grafikas!C423,SUM(O412:O423),0)</f>
        <v>0</v>
      </c>
    </row>
    <row r="424" spans="3:24" x14ac:dyDescent="0.25">
      <c r="C424" s="88">
        <v>420</v>
      </c>
      <c r="D424" s="92">
        <f t="shared" si="42"/>
        <v>0.31597222222221577</v>
      </c>
      <c r="E424" s="92">
        <f>IF(H424=0,0,G424*('Atsipirkimo vertinimas'!$N$19)/12)</f>
        <v>-0.71458333333333979</v>
      </c>
      <c r="F424" s="92">
        <f>($G$4/('Atsipirkimo vertinimas'!$N$18*12-'Atsipirkimo vertinimas'!$N$20)*H424)</f>
        <v>0.97222222222222221</v>
      </c>
      <c r="G424" s="92">
        <f t="shared" si="45"/>
        <v>-175.00000000000156</v>
      </c>
      <c r="H424">
        <f>IF(C424-'Atsipirkimo vertinimas'!$N$20&lt;0,0,1)</f>
        <v>1</v>
      </c>
      <c r="I424" s="92"/>
      <c r="J424" s="92">
        <f t="shared" si="43"/>
        <v>0</v>
      </c>
      <c r="K424" s="92"/>
      <c r="L424" s="88"/>
      <c r="N424" s="88">
        <v>420</v>
      </c>
      <c r="O424" s="92">
        <f t="shared" si="44"/>
        <v>5.8333333333333355E-2</v>
      </c>
      <c r="P424" s="92">
        <f>IF($Z$64&lt;S424+(S424*(('Atsipirkimo vertinimas'!$N$19)/12)),($Z$64*T424)+(Q424*U424),S424+(S424*(('Atsipirkimo vertinimas'!$N$19)/12)))</f>
        <v>0</v>
      </c>
      <c r="Q424" s="92">
        <f>IF(T424=0,0,S424*('Atsipirkimo vertinimas'!$N$19)/12)</f>
        <v>0</v>
      </c>
      <c r="R424" s="92">
        <f t="shared" si="46"/>
        <v>0</v>
      </c>
      <c r="S424" s="92">
        <f t="shared" si="47"/>
        <v>0</v>
      </c>
      <c r="T424">
        <f>IF(N424-'Atsipirkimo vertinimas'!$N$20&lt;0,0,1)</f>
        <v>1</v>
      </c>
      <c r="U424">
        <f>IF(N424-'Atsipirkimo vertinimas'!$N$20&gt;=0,0,1)</f>
        <v>0</v>
      </c>
      <c r="V424" s="92"/>
      <c r="W424" s="92"/>
      <c r="X424" s="88"/>
    </row>
    <row r="425" spans="3:24" x14ac:dyDescent="0.25">
      <c r="C425" s="88">
        <v>421</v>
      </c>
      <c r="D425" s="92">
        <f t="shared" si="42"/>
        <v>0.31200231481480833</v>
      </c>
      <c r="E425" s="92">
        <f>IF(H425=0,0,G425*('Atsipirkimo vertinimas'!$N$19)/12)</f>
        <v>-0.71855324074074722</v>
      </c>
      <c r="F425" s="92">
        <f>($G$4/('Atsipirkimo vertinimas'!$N$18*12-'Atsipirkimo vertinimas'!$N$20)*H425)</f>
        <v>0.97222222222222221</v>
      </c>
      <c r="G425" s="92">
        <f t="shared" si="45"/>
        <v>-175.97222222222379</v>
      </c>
      <c r="H425">
        <f>IF(C425-'Atsipirkimo vertinimas'!$N$20&lt;0,0,1)</f>
        <v>1</v>
      </c>
      <c r="I425" s="92"/>
      <c r="J425" s="92">
        <f t="shared" si="43"/>
        <v>0</v>
      </c>
      <c r="K425" s="92"/>
      <c r="L425" s="88"/>
      <c r="N425" s="88">
        <v>421</v>
      </c>
      <c r="O425" s="92">
        <f t="shared" si="44"/>
        <v>5.8333333333333355E-2</v>
      </c>
      <c r="P425" s="92">
        <f>IF($Z$64&lt;S425+(S425*(('Atsipirkimo vertinimas'!$N$19)/12)),($Z$64*T425)+(Q425*U425),S425+(S425*(('Atsipirkimo vertinimas'!$N$19)/12)))</f>
        <v>0</v>
      </c>
      <c r="Q425" s="92">
        <f>IF(T425=0,0,S425*('Atsipirkimo vertinimas'!$N$19)/12)</f>
        <v>0</v>
      </c>
      <c r="R425" s="92">
        <f t="shared" si="46"/>
        <v>0</v>
      </c>
      <c r="S425" s="92">
        <f t="shared" si="47"/>
        <v>0</v>
      </c>
      <c r="T425">
        <f>IF(N425-'Atsipirkimo vertinimas'!$N$20&lt;0,0,1)</f>
        <v>1</v>
      </c>
      <c r="U425">
        <f>IF(N425-'Atsipirkimo vertinimas'!$N$20&gt;=0,0,1)</f>
        <v>0</v>
      </c>
      <c r="V425" s="92"/>
      <c r="W425" s="92"/>
      <c r="X425" s="88"/>
    </row>
    <row r="426" spans="3:24" x14ac:dyDescent="0.25">
      <c r="C426" s="88">
        <v>422</v>
      </c>
      <c r="D426" s="92">
        <f t="shared" si="42"/>
        <v>0.30803240740740101</v>
      </c>
      <c r="E426" s="92">
        <f>IF(H426=0,0,G426*('Atsipirkimo vertinimas'!$N$19)/12)</f>
        <v>-0.72252314814815455</v>
      </c>
      <c r="F426" s="92">
        <f>($G$4/('Atsipirkimo vertinimas'!$N$18*12-'Atsipirkimo vertinimas'!$N$20)*H426)</f>
        <v>0.97222222222222221</v>
      </c>
      <c r="G426" s="92">
        <f t="shared" si="45"/>
        <v>-176.94444444444602</v>
      </c>
      <c r="H426">
        <f>IF(C426-'Atsipirkimo vertinimas'!$N$20&lt;0,0,1)</f>
        <v>1</v>
      </c>
      <c r="I426" s="92"/>
      <c r="J426" s="92">
        <f t="shared" si="43"/>
        <v>0</v>
      </c>
      <c r="K426" s="92"/>
      <c r="L426" s="88"/>
      <c r="N426" s="88">
        <v>422</v>
      </c>
      <c r="O426" s="92">
        <f t="shared" si="44"/>
        <v>5.8333333333333355E-2</v>
      </c>
      <c r="P426" s="92">
        <f>IF($Z$64&lt;S426+(S426*(('Atsipirkimo vertinimas'!$N$19)/12)),($Z$64*T426)+(Q426*U426),S426+(S426*(('Atsipirkimo vertinimas'!$N$19)/12)))</f>
        <v>0</v>
      </c>
      <c r="Q426" s="92">
        <f>IF(T426=0,0,S426*('Atsipirkimo vertinimas'!$N$19)/12)</f>
        <v>0</v>
      </c>
      <c r="R426" s="92">
        <f t="shared" si="46"/>
        <v>0</v>
      </c>
      <c r="S426" s="92">
        <f t="shared" si="47"/>
        <v>0</v>
      </c>
      <c r="T426">
        <f>IF(N426-'Atsipirkimo vertinimas'!$N$20&lt;0,0,1)</f>
        <v>1</v>
      </c>
      <c r="U426">
        <f>IF(N426-'Atsipirkimo vertinimas'!$N$20&gt;=0,0,1)</f>
        <v>0</v>
      </c>
      <c r="V426" s="92"/>
      <c r="W426" s="92"/>
      <c r="X426" s="88"/>
    </row>
    <row r="427" spans="3:24" x14ac:dyDescent="0.25">
      <c r="C427" s="88">
        <v>423</v>
      </c>
      <c r="D427" s="92">
        <f t="shared" si="42"/>
        <v>0.30406249999999357</v>
      </c>
      <c r="E427" s="92">
        <f>IF(H427=0,0,G427*('Atsipirkimo vertinimas'!$N$19)/12)</f>
        <v>-0.72649305555556198</v>
      </c>
      <c r="F427" s="92">
        <f>($G$4/('Atsipirkimo vertinimas'!$N$18*12-'Atsipirkimo vertinimas'!$N$20)*H427)</f>
        <v>0.97222222222222221</v>
      </c>
      <c r="G427" s="92">
        <f t="shared" si="45"/>
        <v>-177.91666666666825</v>
      </c>
      <c r="H427">
        <f>IF(C427-'Atsipirkimo vertinimas'!$N$20&lt;0,0,1)</f>
        <v>1</v>
      </c>
      <c r="I427" s="92"/>
      <c r="J427" s="92">
        <f t="shared" si="43"/>
        <v>0</v>
      </c>
      <c r="K427" s="92"/>
      <c r="L427" s="88"/>
      <c r="N427" s="88">
        <v>423</v>
      </c>
      <c r="O427" s="92">
        <f t="shared" si="44"/>
        <v>5.8333333333333355E-2</v>
      </c>
      <c r="P427" s="92">
        <f>IF($Z$64&lt;S427+(S427*(('Atsipirkimo vertinimas'!$N$19)/12)),($Z$64*T427)+(Q427*U427),S427+(S427*(('Atsipirkimo vertinimas'!$N$19)/12)))</f>
        <v>0</v>
      </c>
      <c r="Q427" s="92">
        <f>IF(T427=0,0,S427*('Atsipirkimo vertinimas'!$N$19)/12)</f>
        <v>0</v>
      </c>
      <c r="R427" s="92">
        <f t="shared" si="46"/>
        <v>0</v>
      </c>
      <c r="S427" s="92">
        <f t="shared" si="47"/>
        <v>0</v>
      </c>
      <c r="T427">
        <f>IF(N427-'Atsipirkimo vertinimas'!$N$20&lt;0,0,1)</f>
        <v>1</v>
      </c>
      <c r="U427">
        <f>IF(N427-'Atsipirkimo vertinimas'!$N$20&gt;=0,0,1)</f>
        <v>0</v>
      </c>
      <c r="V427" s="92"/>
      <c r="W427" s="92"/>
      <c r="X427" s="88"/>
    </row>
    <row r="428" spans="3:24" x14ac:dyDescent="0.25">
      <c r="C428" s="88">
        <v>424</v>
      </c>
      <c r="D428" s="92">
        <f t="shared" si="42"/>
        <v>0.30009259259258603</v>
      </c>
      <c r="E428" s="92">
        <f>IF(H428=0,0,G428*('Atsipirkimo vertinimas'!$N$19)/12)</f>
        <v>-0.73046296296296953</v>
      </c>
      <c r="F428" s="92">
        <f>($G$4/('Atsipirkimo vertinimas'!$N$18*12-'Atsipirkimo vertinimas'!$N$20)*H428)</f>
        <v>0.97222222222222221</v>
      </c>
      <c r="G428" s="92">
        <f t="shared" si="45"/>
        <v>-178.88888888889048</v>
      </c>
      <c r="H428">
        <f>IF(C428-'Atsipirkimo vertinimas'!$N$20&lt;0,0,1)</f>
        <v>1</v>
      </c>
      <c r="I428" s="92"/>
      <c r="J428" s="92">
        <f t="shared" si="43"/>
        <v>0</v>
      </c>
      <c r="K428" s="92"/>
      <c r="L428" s="88"/>
      <c r="N428" s="88">
        <v>424</v>
      </c>
      <c r="O428" s="92">
        <f t="shared" si="44"/>
        <v>5.8333333333333355E-2</v>
      </c>
      <c r="P428" s="92">
        <f>IF($Z$64&lt;S428+(S428*(('Atsipirkimo vertinimas'!$N$19)/12)),($Z$64*T428)+(Q428*U428),S428+(S428*(('Atsipirkimo vertinimas'!$N$19)/12)))</f>
        <v>0</v>
      </c>
      <c r="Q428" s="92">
        <f>IF(T428=0,0,S428*('Atsipirkimo vertinimas'!$N$19)/12)</f>
        <v>0</v>
      </c>
      <c r="R428" s="92">
        <f t="shared" si="46"/>
        <v>0</v>
      </c>
      <c r="S428" s="92">
        <f t="shared" si="47"/>
        <v>0</v>
      </c>
      <c r="T428">
        <f>IF(N428-'Atsipirkimo vertinimas'!$N$20&lt;0,0,1)</f>
        <v>1</v>
      </c>
      <c r="U428">
        <f>IF(N428-'Atsipirkimo vertinimas'!$N$20&gt;=0,0,1)</f>
        <v>0</v>
      </c>
      <c r="V428" s="92"/>
      <c r="W428" s="92"/>
      <c r="X428" s="88"/>
    </row>
    <row r="429" spans="3:24" x14ac:dyDescent="0.25">
      <c r="C429" s="88">
        <v>425</v>
      </c>
      <c r="D429" s="92">
        <f t="shared" si="42"/>
        <v>0.29612268518517859</v>
      </c>
      <c r="E429" s="92">
        <f>IF(H429=0,0,G429*('Atsipirkimo vertinimas'!$N$19)/12)</f>
        <v>-0.73443287037037697</v>
      </c>
      <c r="F429" s="92">
        <f>($G$4/('Atsipirkimo vertinimas'!$N$18*12-'Atsipirkimo vertinimas'!$N$20)*H429)</f>
        <v>0.97222222222222221</v>
      </c>
      <c r="G429" s="92">
        <f t="shared" si="45"/>
        <v>-179.86111111111271</v>
      </c>
      <c r="H429">
        <f>IF(C429-'Atsipirkimo vertinimas'!$N$20&lt;0,0,1)</f>
        <v>1</v>
      </c>
      <c r="I429" s="92"/>
      <c r="J429" s="92">
        <f t="shared" si="43"/>
        <v>0</v>
      </c>
      <c r="K429" s="92"/>
      <c r="L429" s="88"/>
      <c r="N429" s="88">
        <v>425</v>
      </c>
      <c r="O429" s="92">
        <f t="shared" si="44"/>
        <v>5.8333333333333355E-2</v>
      </c>
      <c r="P429" s="92">
        <f>IF($Z$64&lt;S429+(S429*(('Atsipirkimo vertinimas'!$N$19)/12)),($Z$64*T429)+(Q429*U429),S429+(S429*(('Atsipirkimo vertinimas'!$N$19)/12)))</f>
        <v>0</v>
      </c>
      <c r="Q429" s="92">
        <f>IF(T429=0,0,S429*('Atsipirkimo vertinimas'!$N$19)/12)</f>
        <v>0</v>
      </c>
      <c r="R429" s="92">
        <f t="shared" si="46"/>
        <v>0</v>
      </c>
      <c r="S429" s="92">
        <f t="shared" si="47"/>
        <v>0</v>
      </c>
      <c r="T429">
        <f>IF(N429-'Atsipirkimo vertinimas'!$N$20&lt;0,0,1)</f>
        <v>1</v>
      </c>
      <c r="U429">
        <f>IF(N429-'Atsipirkimo vertinimas'!$N$20&gt;=0,0,1)</f>
        <v>0</v>
      </c>
      <c r="V429" s="92"/>
      <c r="W429" s="92"/>
      <c r="X429" s="88"/>
    </row>
    <row r="430" spans="3:24" x14ac:dyDescent="0.25">
      <c r="C430" s="88">
        <v>426</v>
      </c>
      <c r="D430" s="92">
        <f t="shared" si="42"/>
        <v>0.29215277777777127</v>
      </c>
      <c r="E430" s="92">
        <f>IF(H430=0,0,G430*('Atsipirkimo vertinimas'!$N$19)/12)</f>
        <v>-0.73840277777778429</v>
      </c>
      <c r="F430" s="92">
        <f>($G$4/('Atsipirkimo vertinimas'!$N$18*12-'Atsipirkimo vertinimas'!$N$20)*H430)</f>
        <v>0.97222222222222221</v>
      </c>
      <c r="G430" s="92">
        <f t="shared" si="45"/>
        <v>-180.83333333333493</v>
      </c>
      <c r="H430">
        <f>IF(C430-'Atsipirkimo vertinimas'!$N$20&lt;0,0,1)</f>
        <v>1</v>
      </c>
      <c r="I430" s="92"/>
      <c r="J430" s="92">
        <f t="shared" si="43"/>
        <v>0</v>
      </c>
      <c r="K430" s="92"/>
      <c r="L430" s="88"/>
      <c r="N430" s="88">
        <v>426</v>
      </c>
      <c r="O430" s="92">
        <f t="shared" si="44"/>
        <v>5.8333333333333355E-2</v>
      </c>
      <c r="P430" s="92">
        <f>IF($Z$64&lt;S430+(S430*(('Atsipirkimo vertinimas'!$N$19)/12)),($Z$64*T430)+(Q430*U430),S430+(S430*(('Atsipirkimo vertinimas'!$N$19)/12)))</f>
        <v>0</v>
      </c>
      <c r="Q430" s="92">
        <f>IF(T430=0,0,S430*('Atsipirkimo vertinimas'!$N$19)/12)</f>
        <v>0</v>
      </c>
      <c r="R430" s="92">
        <f t="shared" si="46"/>
        <v>0</v>
      </c>
      <c r="S430" s="92">
        <f t="shared" si="47"/>
        <v>0</v>
      </c>
      <c r="T430">
        <f>IF(N430-'Atsipirkimo vertinimas'!$N$20&lt;0,0,1)</f>
        <v>1</v>
      </c>
      <c r="U430">
        <f>IF(N430-'Atsipirkimo vertinimas'!$N$20&gt;=0,0,1)</f>
        <v>0</v>
      </c>
      <c r="V430" s="92"/>
      <c r="W430" s="92"/>
      <c r="X430" s="88"/>
    </row>
    <row r="431" spans="3:24" x14ac:dyDescent="0.25">
      <c r="C431" s="88">
        <v>427</v>
      </c>
      <c r="D431" s="92">
        <f t="shared" si="42"/>
        <v>0.28818287037036383</v>
      </c>
      <c r="E431" s="92">
        <f>IF(H431=0,0,G431*('Atsipirkimo vertinimas'!$N$19)/12)</f>
        <v>-0.74237268518519173</v>
      </c>
      <c r="F431" s="92">
        <f>($G$4/('Atsipirkimo vertinimas'!$N$18*12-'Atsipirkimo vertinimas'!$N$20)*H431)</f>
        <v>0.97222222222222221</v>
      </c>
      <c r="G431" s="92">
        <f t="shared" si="45"/>
        <v>-181.80555555555716</v>
      </c>
      <c r="H431">
        <f>IF(C431-'Atsipirkimo vertinimas'!$N$20&lt;0,0,1)</f>
        <v>1</v>
      </c>
      <c r="I431" s="92"/>
      <c r="J431" s="92">
        <f t="shared" si="43"/>
        <v>0</v>
      </c>
      <c r="K431" s="92"/>
      <c r="L431" s="88"/>
      <c r="N431" s="88">
        <v>427</v>
      </c>
      <c r="O431" s="92">
        <f t="shared" si="44"/>
        <v>5.8333333333333355E-2</v>
      </c>
      <c r="P431" s="92">
        <f>IF($Z$64&lt;S431+(S431*(('Atsipirkimo vertinimas'!$N$19)/12)),($Z$64*T431)+(Q431*U431),S431+(S431*(('Atsipirkimo vertinimas'!$N$19)/12)))</f>
        <v>0</v>
      </c>
      <c r="Q431" s="92">
        <f>IF(T431=0,0,S431*('Atsipirkimo vertinimas'!$N$19)/12)</f>
        <v>0</v>
      </c>
      <c r="R431" s="92">
        <f t="shared" si="46"/>
        <v>0</v>
      </c>
      <c r="S431" s="92">
        <f t="shared" si="47"/>
        <v>0</v>
      </c>
      <c r="T431">
        <f>IF(N431-'Atsipirkimo vertinimas'!$N$20&lt;0,0,1)</f>
        <v>1</v>
      </c>
      <c r="U431">
        <f>IF(N431-'Atsipirkimo vertinimas'!$N$20&gt;=0,0,1)</f>
        <v>0</v>
      </c>
      <c r="V431" s="92"/>
      <c r="W431" s="92"/>
      <c r="X431" s="88"/>
    </row>
    <row r="432" spans="3:24" x14ac:dyDescent="0.25">
      <c r="C432" s="88">
        <v>428</v>
      </c>
      <c r="D432" s="92">
        <f t="shared" si="42"/>
        <v>0.28421296296295628</v>
      </c>
      <c r="E432" s="92">
        <f>IF(H432=0,0,G432*('Atsipirkimo vertinimas'!$N$19)/12)</f>
        <v>-0.74634259259259927</v>
      </c>
      <c r="F432" s="92">
        <f>($G$4/('Atsipirkimo vertinimas'!$N$18*12-'Atsipirkimo vertinimas'!$N$20)*H432)</f>
        <v>0.97222222222222221</v>
      </c>
      <c r="G432" s="92">
        <f t="shared" si="45"/>
        <v>-182.77777777777939</v>
      </c>
      <c r="H432">
        <f>IF(C432-'Atsipirkimo vertinimas'!$N$20&lt;0,0,1)</f>
        <v>1</v>
      </c>
      <c r="I432" s="92"/>
      <c r="J432" s="92">
        <f t="shared" si="43"/>
        <v>0</v>
      </c>
      <c r="K432" s="92"/>
      <c r="L432" s="88"/>
      <c r="N432" s="88">
        <v>428</v>
      </c>
      <c r="O432" s="92">
        <f t="shared" si="44"/>
        <v>5.8333333333333355E-2</v>
      </c>
      <c r="P432" s="92">
        <f>IF($Z$64&lt;S432+(S432*(('Atsipirkimo vertinimas'!$N$19)/12)),($Z$64*T432)+(Q432*U432),S432+(S432*(('Atsipirkimo vertinimas'!$N$19)/12)))</f>
        <v>0</v>
      </c>
      <c r="Q432" s="92">
        <f>IF(T432=0,0,S432*('Atsipirkimo vertinimas'!$N$19)/12)</f>
        <v>0</v>
      </c>
      <c r="R432" s="92">
        <f t="shared" si="46"/>
        <v>0</v>
      </c>
      <c r="S432" s="92">
        <f t="shared" si="47"/>
        <v>0</v>
      </c>
      <c r="T432">
        <f>IF(N432-'Atsipirkimo vertinimas'!$N$20&lt;0,0,1)</f>
        <v>1</v>
      </c>
      <c r="U432">
        <f>IF(N432-'Atsipirkimo vertinimas'!$N$20&gt;=0,0,1)</f>
        <v>0</v>
      </c>
      <c r="V432" s="92"/>
      <c r="W432" s="92"/>
      <c r="X432" s="88"/>
    </row>
    <row r="433" spans="3:24" x14ac:dyDescent="0.25">
      <c r="C433" s="88">
        <v>429</v>
      </c>
      <c r="D433" s="92">
        <f t="shared" si="42"/>
        <v>0.28024305555554885</v>
      </c>
      <c r="E433" s="92">
        <f>IF(H433=0,0,G433*('Atsipirkimo vertinimas'!$N$19)/12)</f>
        <v>-0.75031250000000671</v>
      </c>
      <c r="F433" s="92">
        <f>($G$4/('Atsipirkimo vertinimas'!$N$18*12-'Atsipirkimo vertinimas'!$N$20)*H433)</f>
        <v>0.97222222222222221</v>
      </c>
      <c r="G433" s="92">
        <f t="shared" si="45"/>
        <v>-183.75000000000162</v>
      </c>
      <c r="H433">
        <f>IF(C433-'Atsipirkimo vertinimas'!$N$20&lt;0,0,1)</f>
        <v>1</v>
      </c>
      <c r="I433" s="92"/>
      <c r="J433" s="92">
        <f t="shared" si="43"/>
        <v>0</v>
      </c>
      <c r="K433" s="92"/>
      <c r="L433" s="88"/>
      <c r="N433" s="88">
        <v>429</v>
      </c>
      <c r="O433" s="92">
        <f t="shared" si="44"/>
        <v>5.8333333333333355E-2</v>
      </c>
      <c r="P433" s="92">
        <f>IF($Z$64&lt;S433+(S433*(('Atsipirkimo vertinimas'!$N$19)/12)),($Z$64*T433)+(Q433*U433),S433+(S433*(('Atsipirkimo vertinimas'!$N$19)/12)))</f>
        <v>0</v>
      </c>
      <c r="Q433" s="92">
        <f>IF(T433=0,0,S433*('Atsipirkimo vertinimas'!$N$19)/12)</f>
        <v>0</v>
      </c>
      <c r="R433" s="92">
        <f t="shared" si="46"/>
        <v>0</v>
      </c>
      <c r="S433" s="92">
        <f t="shared" si="47"/>
        <v>0</v>
      </c>
      <c r="T433">
        <f>IF(N433-'Atsipirkimo vertinimas'!$N$20&lt;0,0,1)</f>
        <v>1</v>
      </c>
      <c r="U433">
        <f>IF(N433-'Atsipirkimo vertinimas'!$N$20&gt;=0,0,1)</f>
        <v>0</v>
      </c>
      <c r="V433" s="92"/>
      <c r="W433" s="92"/>
      <c r="X433" s="88"/>
    </row>
    <row r="434" spans="3:24" x14ac:dyDescent="0.25">
      <c r="C434" s="88">
        <v>430</v>
      </c>
      <c r="D434" s="92">
        <f t="shared" si="42"/>
        <v>0.27627314814814152</v>
      </c>
      <c r="E434" s="92">
        <f>IF(H434=0,0,G434*('Atsipirkimo vertinimas'!$N$19)/12)</f>
        <v>-0.75428240740741404</v>
      </c>
      <c r="F434" s="92">
        <f>($G$4/('Atsipirkimo vertinimas'!$N$18*12-'Atsipirkimo vertinimas'!$N$20)*H434)</f>
        <v>0.97222222222222221</v>
      </c>
      <c r="G434" s="92">
        <f t="shared" si="45"/>
        <v>-184.72222222222385</v>
      </c>
      <c r="H434">
        <f>IF(C434-'Atsipirkimo vertinimas'!$N$20&lt;0,0,1)</f>
        <v>1</v>
      </c>
      <c r="I434" s="92"/>
      <c r="J434" s="92">
        <f t="shared" si="43"/>
        <v>0</v>
      </c>
      <c r="K434" s="92"/>
      <c r="L434" s="88"/>
      <c r="N434" s="88">
        <v>430</v>
      </c>
      <c r="O434" s="92">
        <f t="shared" si="44"/>
        <v>5.8333333333333355E-2</v>
      </c>
      <c r="P434" s="92">
        <f>IF($Z$64&lt;S434+(S434*(('Atsipirkimo vertinimas'!$N$19)/12)),($Z$64*T434)+(Q434*U434),S434+(S434*(('Atsipirkimo vertinimas'!$N$19)/12)))</f>
        <v>0</v>
      </c>
      <c r="Q434" s="92">
        <f>IF(T434=0,0,S434*('Atsipirkimo vertinimas'!$N$19)/12)</f>
        <v>0</v>
      </c>
      <c r="R434" s="92">
        <f t="shared" si="46"/>
        <v>0</v>
      </c>
      <c r="S434" s="92">
        <f t="shared" si="47"/>
        <v>0</v>
      </c>
      <c r="T434">
        <f>IF(N434-'Atsipirkimo vertinimas'!$N$20&lt;0,0,1)</f>
        <v>1</v>
      </c>
      <c r="U434">
        <f>IF(N434-'Atsipirkimo vertinimas'!$N$20&gt;=0,0,1)</f>
        <v>0</v>
      </c>
      <c r="V434" s="92"/>
      <c r="W434" s="92"/>
      <c r="X434" s="88"/>
    </row>
    <row r="435" spans="3:24" x14ac:dyDescent="0.25">
      <c r="C435" s="88">
        <v>431</v>
      </c>
      <c r="D435" s="92">
        <f t="shared" si="42"/>
        <v>0.27230324074073409</v>
      </c>
      <c r="E435" s="92">
        <f>IF(H435=0,0,G435*('Atsipirkimo vertinimas'!$N$19)/12)</f>
        <v>-0.75825231481482147</v>
      </c>
      <c r="F435" s="92">
        <f>($G$4/('Atsipirkimo vertinimas'!$N$18*12-'Atsipirkimo vertinimas'!$N$20)*H435)</f>
        <v>0.97222222222222221</v>
      </c>
      <c r="G435" s="92">
        <f t="shared" si="45"/>
        <v>-185.69444444444608</v>
      </c>
      <c r="H435">
        <f>IF(C435-'Atsipirkimo vertinimas'!$N$20&lt;0,0,1)</f>
        <v>1</v>
      </c>
      <c r="I435" s="92"/>
      <c r="J435" s="92">
        <f t="shared" si="43"/>
        <v>0</v>
      </c>
      <c r="K435" s="92"/>
      <c r="L435" s="91">
        <f>IF('Atsipirkimo vertinimas'!$N$18*12&gt;Grafikas!C435,SUM(D424:D435),0)</f>
        <v>0</v>
      </c>
      <c r="N435" s="88">
        <v>431</v>
      </c>
      <c r="O435" s="92">
        <f t="shared" si="44"/>
        <v>5.8333333333333355E-2</v>
      </c>
      <c r="P435" s="92">
        <f>IF($Z$64&lt;S435+(S435*(('Atsipirkimo vertinimas'!$N$19)/12)),($Z$64*T435)+(Q435*U435),S435+(S435*(('Atsipirkimo vertinimas'!$N$19)/12)))</f>
        <v>0</v>
      </c>
      <c r="Q435" s="92">
        <f>IF(T435=0,0,S435*('Atsipirkimo vertinimas'!$N$19)/12)</f>
        <v>0</v>
      </c>
      <c r="R435" s="92">
        <f t="shared" si="46"/>
        <v>0</v>
      </c>
      <c r="S435" s="92">
        <f t="shared" si="47"/>
        <v>0</v>
      </c>
      <c r="T435">
        <f>IF(N435-'Atsipirkimo vertinimas'!$N$20&lt;0,0,1)</f>
        <v>1</v>
      </c>
      <c r="U435">
        <f>IF(N435-'Atsipirkimo vertinimas'!$N$20&gt;=0,0,1)</f>
        <v>0</v>
      </c>
      <c r="V435" s="92"/>
      <c r="W435" s="92"/>
      <c r="X435" s="91">
        <f>IF('Atsipirkimo vertinimas'!$N$18*12&gt;Grafikas!C435,SUM(O424:O435),0)</f>
        <v>0</v>
      </c>
    </row>
    <row r="436" spans="3:24" x14ac:dyDescent="0.25">
      <c r="C436" s="88">
        <v>432</v>
      </c>
      <c r="D436" s="92">
        <f t="shared" si="42"/>
        <v>0.26833333333332654</v>
      </c>
      <c r="E436" s="92">
        <f>IF(H436=0,0,G436*('Atsipirkimo vertinimas'!$N$19)/12)</f>
        <v>-0.76222222222222902</v>
      </c>
      <c r="F436" s="92">
        <f>($G$4/('Atsipirkimo vertinimas'!$N$18*12-'Atsipirkimo vertinimas'!$N$20)*H436)</f>
        <v>0.97222222222222221</v>
      </c>
      <c r="G436" s="92">
        <f t="shared" si="45"/>
        <v>-186.66666666666831</v>
      </c>
      <c r="H436">
        <f>IF(C436-'Atsipirkimo vertinimas'!$N$20&lt;0,0,1)</f>
        <v>1</v>
      </c>
      <c r="I436" s="92"/>
      <c r="J436" s="92">
        <f t="shared" si="43"/>
        <v>0</v>
      </c>
      <c r="K436" s="92"/>
      <c r="L436" s="88"/>
      <c r="N436" s="88">
        <v>432</v>
      </c>
      <c r="O436" s="92">
        <f t="shared" si="44"/>
        <v>5.8333333333333355E-2</v>
      </c>
      <c r="P436" s="92">
        <f>IF($Z$64&lt;S436+(S436*(('Atsipirkimo vertinimas'!$N$19)/12)),($Z$64*T436)+(Q436*U436),S436+(S436*(('Atsipirkimo vertinimas'!$N$19)/12)))</f>
        <v>0</v>
      </c>
      <c r="Q436" s="92">
        <f>IF(T436=0,0,S436*('Atsipirkimo vertinimas'!$N$19)/12)</f>
        <v>0</v>
      </c>
      <c r="R436" s="92">
        <f t="shared" si="46"/>
        <v>0</v>
      </c>
      <c r="S436" s="92">
        <f t="shared" si="47"/>
        <v>0</v>
      </c>
      <c r="T436">
        <f>IF(N436-'Atsipirkimo vertinimas'!$N$20&lt;0,0,1)</f>
        <v>1</v>
      </c>
      <c r="U436">
        <f>IF(N436-'Atsipirkimo vertinimas'!$N$20&gt;=0,0,1)</f>
        <v>0</v>
      </c>
      <c r="V436" s="92"/>
      <c r="W436" s="92"/>
      <c r="X436" s="88"/>
    </row>
    <row r="437" spans="3:24" x14ac:dyDescent="0.25">
      <c r="C437" s="88">
        <v>433</v>
      </c>
      <c r="D437" s="92">
        <f t="shared" si="42"/>
        <v>0.2643634259259191</v>
      </c>
      <c r="E437" s="92">
        <f>IF(H437=0,0,G437*('Atsipirkimo vertinimas'!$N$19)/12)</f>
        <v>-0.76619212962963645</v>
      </c>
      <c r="F437" s="92">
        <f>($G$4/('Atsipirkimo vertinimas'!$N$18*12-'Atsipirkimo vertinimas'!$N$20)*H437)</f>
        <v>0.97222222222222221</v>
      </c>
      <c r="G437" s="92">
        <f t="shared" si="45"/>
        <v>-187.63888888889053</v>
      </c>
      <c r="H437">
        <f>IF(C437-'Atsipirkimo vertinimas'!$N$20&lt;0,0,1)</f>
        <v>1</v>
      </c>
      <c r="I437" s="92"/>
      <c r="J437" s="92">
        <f t="shared" si="43"/>
        <v>0</v>
      </c>
      <c r="K437" s="92"/>
      <c r="L437" s="88"/>
      <c r="N437" s="88">
        <v>433</v>
      </c>
      <c r="O437" s="92">
        <f t="shared" si="44"/>
        <v>5.8333333333333355E-2</v>
      </c>
      <c r="P437" s="92">
        <f>IF($Z$64&lt;S437+(S437*(('Atsipirkimo vertinimas'!$N$19)/12)),($Z$64*T437)+(Q437*U437),S437+(S437*(('Atsipirkimo vertinimas'!$N$19)/12)))</f>
        <v>0</v>
      </c>
      <c r="Q437" s="92">
        <f>IF(T437=0,0,S437*('Atsipirkimo vertinimas'!$N$19)/12)</f>
        <v>0</v>
      </c>
      <c r="R437" s="92">
        <f t="shared" si="46"/>
        <v>0</v>
      </c>
      <c r="S437" s="92">
        <f t="shared" si="47"/>
        <v>0</v>
      </c>
      <c r="T437">
        <f>IF(N437-'Atsipirkimo vertinimas'!$N$20&lt;0,0,1)</f>
        <v>1</v>
      </c>
      <c r="U437">
        <f>IF(N437-'Atsipirkimo vertinimas'!$N$20&gt;=0,0,1)</f>
        <v>0</v>
      </c>
      <c r="V437" s="92"/>
      <c r="W437" s="92"/>
      <c r="X437" s="88"/>
    </row>
    <row r="438" spans="3:24" x14ac:dyDescent="0.25">
      <c r="C438" s="88">
        <v>434</v>
      </c>
      <c r="D438" s="92">
        <f t="shared" si="42"/>
        <v>0.26039351851851178</v>
      </c>
      <c r="E438" s="92">
        <f>IF(H438=0,0,G438*('Atsipirkimo vertinimas'!$N$19)/12)</f>
        <v>-0.77016203703704378</v>
      </c>
      <c r="F438" s="92">
        <f>($G$4/('Atsipirkimo vertinimas'!$N$18*12-'Atsipirkimo vertinimas'!$N$20)*H438)</f>
        <v>0.97222222222222221</v>
      </c>
      <c r="G438" s="92">
        <f t="shared" si="45"/>
        <v>-188.61111111111276</v>
      </c>
      <c r="H438">
        <f>IF(C438-'Atsipirkimo vertinimas'!$N$20&lt;0,0,1)</f>
        <v>1</v>
      </c>
      <c r="I438" s="92"/>
      <c r="J438" s="92">
        <f t="shared" si="43"/>
        <v>0</v>
      </c>
      <c r="K438" s="92"/>
      <c r="L438" s="88"/>
      <c r="N438" s="88">
        <v>434</v>
      </c>
      <c r="O438" s="92">
        <f t="shared" si="44"/>
        <v>5.8333333333333355E-2</v>
      </c>
      <c r="P438" s="92">
        <f>IF($Z$64&lt;S438+(S438*(('Atsipirkimo vertinimas'!$N$19)/12)),($Z$64*T438)+(Q438*U438),S438+(S438*(('Atsipirkimo vertinimas'!$N$19)/12)))</f>
        <v>0</v>
      </c>
      <c r="Q438" s="92">
        <f>IF(T438=0,0,S438*('Atsipirkimo vertinimas'!$N$19)/12)</f>
        <v>0</v>
      </c>
      <c r="R438" s="92">
        <f t="shared" si="46"/>
        <v>0</v>
      </c>
      <c r="S438" s="92">
        <f t="shared" si="47"/>
        <v>0</v>
      </c>
      <c r="T438">
        <f>IF(N438-'Atsipirkimo vertinimas'!$N$20&lt;0,0,1)</f>
        <v>1</v>
      </c>
      <c r="U438">
        <f>IF(N438-'Atsipirkimo vertinimas'!$N$20&gt;=0,0,1)</f>
        <v>0</v>
      </c>
      <c r="V438" s="92"/>
      <c r="W438" s="92"/>
      <c r="X438" s="88"/>
    </row>
    <row r="439" spans="3:24" x14ac:dyDescent="0.25">
      <c r="C439" s="88">
        <v>435</v>
      </c>
      <c r="D439" s="92">
        <f t="shared" si="42"/>
        <v>0.25642361111110434</v>
      </c>
      <c r="E439" s="92">
        <f>IF(H439=0,0,G439*('Atsipirkimo vertinimas'!$N$19)/12)</f>
        <v>-0.77413194444445121</v>
      </c>
      <c r="F439" s="92">
        <f>($G$4/('Atsipirkimo vertinimas'!$N$18*12-'Atsipirkimo vertinimas'!$N$20)*H439)</f>
        <v>0.97222222222222221</v>
      </c>
      <c r="G439" s="92">
        <f t="shared" si="45"/>
        <v>-189.58333333333499</v>
      </c>
      <c r="H439">
        <f>IF(C439-'Atsipirkimo vertinimas'!$N$20&lt;0,0,1)</f>
        <v>1</v>
      </c>
      <c r="I439" s="92"/>
      <c r="J439" s="92">
        <f t="shared" si="43"/>
        <v>0</v>
      </c>
      <c r="K439" s="92"/>
      <c r="L439" s="88"/>
      <c r="N439" s="88">
        <v>435</v>
      </c>
      <c r="O439" s="92">
        <f t="shared" si="44"/>
        <v>5.8333333333333355E-2</v>
      </c>
      <c r="P439" s="92">
        <f>IF($Z$64&lt;S439+(S439*(('Atsipirkimo vertinimas'!$N$19)/12)),($Z$64*T439)+(Q439*U439),S439+(S439*(('Atsipirkimo vertinimas'!$N$19)/12)))</f>
        <v>0</v>
      </c>
      <c r="Q439" s="92">
        <f>IF(T439=0,0,S439*('Atsipirkimo vertinimas'!$N$19)/12)</f>
        <v>0</v>
      </c>
      <c r="R439" s="92">
        <f t="shared" si="46"/>
        <v>0</v>
      </c>
      <c r="S439" s="92">
        <f t="shared" si="47"/>
        <v>0</v>
      </c>
      <c r="T439">
        <f>IF(N439-'Atsipirkimo vertinimas'!$N$20&lt;0,0,1)</f>
        <v>1</v>
      </c>
      <c r="U439">
        <f>IF(N439-'Atsipirkimo vertinimas'!$N$20&gt;=0,0,1)</f>
        <v>0</v>
      </c>
      <c r="V439" s="92"/>
      <c r="W439" s="92"/>
      <c r="X439" s="88"/>
    </row>
    <row r="440" spans="3:24" x14ac:dyDescent="0.25">
      <c r="C440" s="88">
        <v>436</v>
      </c>
      <c r="D440" s="92">
        <f t="shared" si="42"/>
        <v>0.25245370370369691</v>
      </c>
      <c r="E440" s="92">
        <f>IF(H440=0,0,G440*('Atsipirkimo vertinimas'!$N$19)/12)</f>
        <v>-0.77810185185185865</v>
      </c>
      <c r="F440" s="92">
        <f>($G$4/('Atsipirkimo vertinimas'!$N$18*12-'Atsipirkimo vertinimas'!$N$20)*H440)</f>
        <v>0.97222222222222221</v>
      </c>
      <c r="G440" s="92">
        <f t="shared" si="45"/>
        <v>-190.55555555555722</v>
      </c>
      <c r="H440">
        <f>IF(C440-'Atsipirkimo vertinimas'!$N$20&lt;0,0,1)</f>
        <v>1</v>
      </c>
      <c r="I440" s="92"/>
      <c r="J440" s="92">
        <f t="shared" si="43"/>
        <v>0</v>
      </c>
      <c r="K440" s="92"/>
      <c r="L440" s="88"/>
      <c r="N440" s="88">
        <v>436</v>
      </c>
      <c r="O440" s="92">
        <f t="shared" si="44"/>
        <v>5.8333333333333355E-2</v>
      </c>
      <c r="P440" s="92">
        <f>IF($Z$64&lt;S440+(S440*(('Atsipirkimo vertinimas'!$N$19)/12)),($Z$64*T440)+(Q440*U440),S440+(S440*(('Atsipirkimo vertinimas'!$N$19)/12)))</f>
        <v>0</v>
      </c>
      <c r="Q440" s="92">
        <f>IF(T440=0,0,S440*('Atsipirkimo vertinimas'!$N$19)/12)</f>
        <v>0</v>
      </c>
      <c r="R440" s="92">
        <f t="shared" si="46"/>
        <v>0</v>
      </c>
      <c r="S440" s="92">
        <f t="shared" si="47"/>
        <v>0</v>
      </c>
      <c r="T440">
        <f>IF(N440-'Atsipirkimo vertinimas'!$N$20&lt;0,0,1)</f>
        <v>1</v>
      </c>
      <c r="U440">
        <f>IF(N440-'Atsipirkimo vertinimas'!$N$20&gt;=0,0,1)</f>
        <v>0</v>
      </c>
      <c r="V440" s="92"/>
      <c r="W440" s="92"/>
      <c r="X440" s="88"/>
    </row>
    <row r="441" spans="3:24" x14ac:dyDescent="0.25">
      <c r="C441" s="88">
        <v>437</v>
      </c>
      <c r="D441" s="92">
        <f t="shared" si="42"/>
        <v>0.24848379629628936</v>
      </c>
      <c r="E441" s="92">
        <f>IF(H441=0,0,G441*('Atsipirkimo vertinimas'!$N$19)/12)</f>
        <v>-0.7820717592592662</v>
      </c>
      <c r="F441" s="92">
        <f>($G$4/('Atsipirkimo vertinimas'!$N$18*12-'Atsipirkimo vertinimas'!$N$20)*H441)</f>
        <v>0.97222222222222221</v>
      </c>
      <c r="G441" s="92">
        <f t="shared" si="45"/>
        <v>-191.52777777777945</v>
      </c>
      <c r="H441">
        <f>IF(C441-'Atsipirkimo vertinimas'!$N$20&lt;0,0,1)</f>
        <v>1</v>
      </c>
      <c r="I441" s="92"/>
      <c r="J441" s="92">
        <f t="shared" si="43"/>
        <v>0</v>
      </c>
      <c r="K441" s="92"/>
      <c r="L441" s="88"/>
      <c r="N441" s="88">
        <v>437</v>
      </c>
      <c r="O441" s="92">
        <f t="shared" si="44"/>
        <v>5.8333333333333355E-2</v>
      </c>
      <c r="P441" s="92">
        <f>IF($Z$64&lt;S441+(S441*(('Atsipirkimo vertinimas'!$N$19)/12)),($Z$64*T441)+(Q441*U441),S441+(S441*(('Atsipirkimo vertinimas'!$N$19)/12)))</f>
        <v>0</v>
      </c>
      <c r="Q441" s="92">
        <f>IF(T441=0,0,S441*('Atsipirkimo vertinimas'!$N$19)/12)</f>
        <v>0</v>
      </c>
      <c r="R441" s="92">
        <f t="shared" si="46"/>
        <v>0</v>
      </c>
      <c r="S441" s="92">
        <f t="shared" si="47"/>
        <v>0</v>
      </c>
      <c r="T441">
        <f>IF(N441-'Atsipirkimo vertinimas'!$N$20&lt;0,0,1)</f>
        <v>1</v>
      </c>
      <c r="U441">
        <f>IF(N441-'Atsipirkimo vertinimas'!$N$20&gt;=0,0,1)</f>
        <v>0</v>
      </c>
      <c r="V441" s="92"/>
      <c r="W441" s="92"/>
      <c r="X441" s="88"/>
    </row>
    <row r="442" spans="3:24" x14ac:dyDescent="0.25">
      <c r="C442" s="88">
        <v>438</v>
      </c>
      <c r="D442" s="92">
        <f t="shared" si="42"/>
        <v>0.24451388888888204</v>
      </c>
      <c r="E442" s="92">
        <f>IF(H442=0,0,G442*('Atsipirkimo vertinimas'!$N$19)/12)</f>
        <v>-0.78604166666667352</v>
      </c>
      <c r="F442" s="92">
        <f>($G$4/('Atsipirkimo vertinimas'!$N$18*12-'Atsipirkimo vertinimas'!$N$20)*H442)</f>
        <v>0.97222222222222221</v>
      </c>
      <c r="G442" s="92">
        <f t="shared" si="45"/>
        <v>-192.50000000000168</v>
      </c>
      <c r="H442">
        <f>IF(C442-'Atsipirkimo vertinimas'!$N$20&lt;0,0,1)</f>
        <v>1</v>
      </c>
      <c r="I442" s="92"/>
      <c r="J442" s="92">
        <f t="shared" si="43"/>
        <v>0</v>
      </c>
      <c r="K442" s="92"/>
      <c r="L442" s="88"/>
      <c r="N442" s="88">
        <v>438</v>
      </c>
      <c r="O442" s="92">
        <f t="shared" si="44"/>
        <v>5.8333333333333355E-2</v>
      </c>
      <c r="P442" s="92">
        <f>IF($Z$64&lt;S442+(S442*(('Atsipirkimo vertinimas'!$N$19)/12)),($Z$64*T442)+(Q442*U442),S442+(S442*(('Atsipirkimo vertinimas'!$N$19)/12)))</f>
        <v>0</v>
      </c>
      <c r="Q442" s="92">
        <f>IF(T442=0,0,S442*('Atsipirkimo vertinimas'!$N$19)/12)</f>
        <v>0</v>
      </c>
      <c r="R442" s="92">
        <f t="shared" si="46"/>
        <v>0</v>
      </c>
      <c r="S442" s="92">
        <f t="shared" si="47"/>
        <v>0</v>
      </c>
      <c r="T442">
        <f>IF(N442-'Atsipirkimo vertinimas'!$N$20&lt;0,0,1)</f>
        <v>1</v>
      </c>
      <c r="U442">
        <f>IF(N442-'Atsipirkimo vertinimas'!$N$20&gt;=0,0,1)</f>
        <v>0</v>
      </c>
      <c r="V442" s="92"/>
      <c r="W442" s="92"/>
      <c r="X442" s="88"/>
    </row>
    <row r="443" spans="3:24" x14ac:dyDescent="0.25">
      <c r="C443" s="88">
        <v>439</v>
      </c>
      <c r="D443" s="92">
        <f t="shared" si="42"/>
        <v>0.2405439814814746</v>
      </c>
      <c r="E443" s="92">
        <f>IF(H443=0,0,G443*('Atsipirkimo vertinimas'!$N$19)/12)</f>
        <v>-0.79001157407408096</v>
      </c>
      <c r="F443" s="92">
        <f>($G$4/('Atsipirkimo vertinimas'!$N$18*12-'Atsipirkimo vertinimas'!$N$20)*H443)</f>
        <v>0.97222222222222221</v>
      </c>
      <c r="G443" s="92">
        <f t="shared" si="45"/>
        <v>-193.47222222222391</v>
      </c>
      <c r="H443">
        <f>IF(C443-'Atsipirkimo vertinimas'!$N$20&lt;0,0,1)</f>
        <v>1</v>
      </c>
      <c r="I443" s="92"/>
      <c r="J443" s="92">
        <f t="shared" si="43"/>
        <v>0</v>
      </c>
      <c r="K443" s="92"/>
      <c r="L443" s="88"/>
      <c r="N443" s="88">
        <v>439</v>
      </c>
      <c r="O443" s="92">
        <f t="shared" si="44"/>
        <v>5.8333333333333355E-2</v>
      </c>
      <c r="P443" s="92">
        <f>IF($Z$64&lt;S443+(S443*(('Atsipirkimo vertinimas'!$N$19)/12)),($Z$64*T443)+(Q443*U443),S443+(S443*(('Atsipirkimo vertinimas'!$N$19)/12)))</f>
        <v>0</v>
      </c>
      <c r="Q443" s="92">
        <f>IF(T443=0,0,S443*('Atsipirkimo vertinimas'!$N$19)/12)</f>
        <v>0</v>
      </c>
      <c r="R443" s="92">
        <f t="shared" si="46"/>
        <v>0</v>
      </c>
      <c r="S443" s="92">
        <f t="shared" si="47"/>
        <v>0</v>
      </c>
      <c r="T443">
        <f>IF(N443-'Atsipirkimo vertinimas'!$N$20&lt;0,0,1)</f>
        <v>1</v>
      </c>
      <c r="U443">
        <f>IF(N443-'Atsipirkimo vertinimas'!$N$20&gt;=0,0,1)</f>
        <v>0</v>
      </c>
      <c r="V443" s="92"/>
      <c r="W443" s="92"/>
      <c r="X443" s="88"/>
    </row>
    <row r="444" spans="3:24" x14ac:dyDescent="0.25">
      <c r="C444" s="88">
        <v>440</v>
      </c>
      <c r="D444" s="92">
        <f t="shared" si="42"/>
        <v>0.23657407407406716</v>
      </c>
      <c r="E444" s="92">
        <f>IF(H444=0,0,G444*('Atsipirkimo vertinimas'!$N$19)/12)</f>
        <v>-0.79398148148148839</v>
      </c>
      <c r="F444" s="92">
        <f>($G$4/('Atsipirkimo vertinimas'!$N$18*12-'Atsipirkimo vertinimas'!$N$20)*H444)</f>
        <v>0.97222222222222221</v>
      </c>
      <c r="G444" s="92">
        <f t="shared" si="45"/>
        <v>-194.44444444444613</v>
      </c>
      <c r="H444">
        <f>IF(C444-'Atsipirkimo vertinimas'!$N$20&lt;0,0,1)</f>
        <v>1</v>
      </c>
      <c r="I444" s="92"/>
      <c r="J444" s="92">
        <f t="shared" si="43"/>
        <v>0</v>
      </c>
      <c r="K444" s="92"/>
      <c r="L444" s="88"/>
      <c r="N444" s="88">
        <v>440</v>
      </c>
      <c r="O444" s="92">
        <f t="shared" si="44"/>
        <v>5.8333333333333355E-2</v>
      </c>
      <c r="P444" s="92">
        <f>IF($Z$64&lt;S444+(S444*(('Atsipirkimo vertinimas'!$N$19)/12)),($Z$64*T444)+(Q444*U444),S444+(S444*(('Atsipirkimo vertinimas'!$N$19)/12)))</f>
        <v>0</v>
      </c>
      <c r="Q444" s="92">
        <f>IF(T444=0,0,S444*('Atsipirkimo vertinimas'!$N$19)/12)</f>
        <v>0</v>
      </c>
      <c r="R444" s="92">
        <f t="shared" si="46"/>
        <v>0</v>
      </c>
      <c r="S444" s="92">
        <f t="shared" si="47"/>
        <v>0</v>
      </c>
      <c r="T444">
        <f>IF(N444-'Atsipirkimo vertinimas'!$N$20&lt;0,0,1)</f>
        <v>1</v>
      </c>
      <c r="U444">
        <f>IF(N444-'Atsipirkimo vertinimas'!$N$20&gt;=0,0,1)</f>
        <v>0</v>
      </c>
      <c r="V444" s="92"/>
      <c r="W444" s="92"/>
      <c r="X444" s="88"/>
    </row>
    <row r="445" spans="3:24" x14ac:dyDescent="0.25">
      <c r="C445" s="88">
        <v>441</v>
      </c>
      <c r="D445" s="92">
        <f t="shared" si="42"/>
        <v>0.23260416666665962</v>
      </c>
      <c r="E445" s="92">
        <f>IF(H445=0,0,G445*('Atsipirkimo vertinimas'!$N$19)/12)</f>
        <v>-0.79795138888889594</v>
      </c>
      <c r="F445" s="92">
        <f>($G$4/('Atsipirkimo vertinimas'!$N$18*12-'Atsipirkimo vertinimas'!$N$20)*H445)</f>
        <v>0.97222222222222221</v>
      </c>
      <c r="G445" s="92">
        <f t="shared" si="45"/>
        <v>-195.41666666666836</v>
      </c>
      <c r="H445">
        <f>IF(C445-'Atsipirkimo vertinimas'!$N$20&lt;0,0,1)</f>
        <v>1</v>
      </c>
      <c r="I445" s="92"/>
      <c r="J445" s="92">
        <f t="shared" si="43"/>
        <v>0</v>
      </c>
      <c r="K445" s="92"/>
      <c r="L445" s="88"/>
      <c r="N445" s="88">
        <v>441</v>
      </c>
      <c r="O445" s="92">
        <f t="shared" si="44"/>
        <v>5.8333333333333355E-2</v>
      </c>
      <c r="P445" s="92">
        <f>IF($Z$64&lt;S445+(S445*(('Atsipirkimo vertinimas'!$N$19)/12)),($Z$64*T445)+(Q445*U445),S445+(S445*(('Atsipirkimo vertinimas'!$N$19)/12)))</f>
        <v>0</v>
      </c>
      <c r="Q445" s="92">
        <f>IF(T445=0,0,S445*('Atsipirkimo vertinimas'!$N$19)/12)</f>
        <v>0</v>
      </c>
      <c r="R445" s="92">
        <f t="shared" si="46"/>
        <v>0</v>
      </c>
      <c r="S445" s="92">
        <f t="shared" si="47"/>
        <v>0</v>
      </c>
      <c r="T445">
        <f>IF(N445-'Atsipirkimo vertinimas'!$N$20&lt;0,0,1)</f>
        <v>1</v>
      </c>
      <c r="U445">
        <f>IF(N445-'Atsipirkimo vertinimas'!$N$20&gt;=0,0,1)</f>
        <v>0</v>
      </c>
      <c r="V445" s="92"/>
      <c r="W445" s="92"/>
      <c r="X445" s="88"/>
    </row>
    <row r="446" spans="3:24" x14ac:dyDescent="0.25">
      <c r="C446" s="88">
        <v>442</v>
      </c>
      <c r="D446" s="92">
        <f t="shared" si="42"/>
        <v>0.22863425925925229</v>
      </c>
      <c r="E446" s="92">
        <f>IF(H446=0,0,G446*('Atsipirkimo vertinimas'!$N$19)/12)</f>
        <v>-0.80192129629630327</v>
      </c>
      <c r="F446" s="92">
        <f>($G$4/('Atsipirkimo vertinimas'!$N$18*12-'Atsipirkimo vertinimas'!$N$20)*H446)</f>
        <v>0.97222222222222221</v>
      </c>
      <c r="G446" s="92">
        <f t="shared" si="45"/>
        <v>-196.38888888889059</v>
      </c>
      <c r="H446">
        <f>IF(C446-'Atsipirkimo vertinimas'!$N$20&lt;0,0,1)</f>
        <v>1</v>
      </c>
      <c r="I446" s="92"/>
      <c r="J446" s="92">
        <f t="shared" si="43"/>
        <v>0</v>
      </c>
      <c r="K446" s="92"/>
      <c r="L446" s="88"/>
      <c r="N446" s="88">
        <v>442</v>
      </c>
      <c r="O446" s="92">
        <f t="shared" si="44"/>
        <v>5.8333333333333355E-2</v>
      </c>
      <c r="P446" s="92">
        <f>IF($Z$64&lt;S446+(S446*(('Atsipirkimo vertinimas'!$N$19)/12)),($Z$64*T446)+(Q446*U446),S446+(S446*(('Atsipirkimo vertinimas'!$N$19)/12)))</f>
        <v>0</v>
      </c>
      <c r="Q446" s="92">
        <f>IF(T446=0,0,S446*('Atsipirkimo vertinimas'!$N$19)/12)</f>
        <v>0</v>
      </c>
      <c r="R446" s="92">
        <f t="shared" si="46"/>
        <v>0</v>
      </c>
      <c r="S446" s="92">
        <f t="shared" si="47"/>
        <v>0</v>
      </c>
      <c r="T446">
        <f>IF(N446-'Atsipirkimo vertinimas'!$N$20&lt;0,0,1)</f>
        <v>1</v>
      </c>
      <c r="U446">
        <f>IF(N446-'Atsipirkimo vertinimas'!$N$20&gt;=0,0,1)</f>
        <v>0</v>
      </c>
      <c r="V446" s="92"/>
      <c r="W446" s="92"/>
      <c r="X446" s="88"/>
    </row>
    <row r="447" spans="3:24" x14ac:dyDescent="0.25">
      <c r="C447" s="88">
        <v>443</v>
      </c>
      <c r="D447" s="92">
        <f t="shared" si="42"/>
        <v>0.22466435185184486</v>
      </c>
      <c r="E447" s="92">
        <f>IF(H447=0,0,G447*('Atsipirkimo vertinimas'!$N$19)/12)</f>
        <v>-0.8058912037037107</v>
      </c>
      <c r="F447" s="92">
        <f>($G$4/('Atsipirkimo vertinimas'!$N$18*12-'Atsipirkimo vertinimas'!$N$20)*H447)</f>
        <v>0.97222222222222221</v>
      </c>
      <c r="G447" s="92">
        <f t="shared" si="45"/>
        <v>-197.36111111111282</v>
      </c>
      <c r="H447">
        <f>IF(C447-'Atsipirkimo vertinimas'!$N$20&lt;0,0,1)</f>
        <v>1</v>
      </c>
      <c r="I447" s="92"/>
      <c r="J447" s="92">
        <f t="shared" si="43"/>
        <v>0</v>
      </c>
      <c r="K447" s="92"/>
      <c r="L447" s="91">
        <f>IF('Atsipirkimo vertinimas'!$N$18*12&gt;Grafikas!C447,SUM(D436:D447),0)</f>
        <v>0</v>
      </c>
      <c r="N447" s="88">
        <v>443</v>
      </c>
      <c r="O447" s="92">
        <f t="shared" si="44"/>
        <v>5.8333333333333355E-2</v>
      </c>
      <c r="P447" s="92">
        <f>IF($Z$64&lt;S447+(S447*(('Atsipirkimo vertinimas'!$N$19)/12)),($Z$64*T447)+(Q447*U447),S447+(S447*(('Atsipirkimo vertinimas'!$N$19)/12)))</f>
        <v>0</v>
      </c>
      <c r="Q447" s="92">
        <f>IF(T447=0,0,S447*('Atsipirkimo vertinimas'!$N$19)/12)</f>
        <v>0</v>
      </c>
      <c r="R447" s="92">
        <f t="shared" si="46"/>
        <v>0</v>
      </c>
      <c r="S447" s="92">
        <f t="shared" si="47"/>
        <v>0</v>
      </c>
      <c r="T447">
        <f>IF(N447-'Atsipirkimo vertinimas'!$N$20&lt;0,0,1)</f>
        <v>1</v>
      </c>
      <c r="U447">
        <f>IF(N447-'Atsipirkimo vertinimas'!$N$20&gt;=0,0,1)</f>
        <v>0</v>
      </c>
      <c r="V447" s="92"/>
      <c r="W447" s="92"/>
      <c r="X447" s="91">
        <f>IF('Atsipirkimo vertinimas'!$N$18*12&gt;Grafikas!C447,SUM(O436:O447),0)</f>
        <v>0</v>
      </c>
    </row>
    <row r="448" spans="3:24" x14ac:dyDescent="0.25">
      <c r="C448" s="88">
        <v>444</v>
      </c>
      <c r="D448" s="92">
        <f t="shared" si="42"/>
        <v>0.22069444444443742</v>
      </c>
      <c r="E448" s="92">
        <f>IF(H448=0,0,G448*('Atsipirkimo vertinimas'!$N$19)/12)</f>
        <v>-0.80986111111111814</v>
      </c>
      <c r="F448" s="92">
        <f>($G$4/('Atsipirkimo vertinimas'!$N$18*12-'Atsipirkimo vertinimas'!$N$20)*H448)</f>
        <v>0.97222222222222221</v>
      </c>
      <c r="G448" s="92">
        <f t="shared" si="45"/>
        <v>-198.33333333333505</v>
      </c>
      <c r="H448">
        <f>IF(C448-'Atsipirkimo vertinimas'!$N$20&lt;0,0,1)</f>
        <v>1</v>
      </c>
      <c r="I448" s="92"/>
      <c r="J448" s="92">
        <f t="shared" si="43"/>
        <v>0</v>
      </c>
      <c r="K448" s="92"/>
      <c r="L448" s="88"/>
      <c r="N448" s="88">
        <v>444</v>
      </c>
      <c r="O448" s="92">
        <f t="shared" si="44"/>
        <v>5.8333333333333355E-2</v>
      </c>
      <c r="P448" s="92">
        <f>IF($Z$64&lt;S448+(S448*(('Atsipirkimo vertinimas'!$N$19)/12)),($Z$64*T448)+(Q448*U448),S448+(S448*(('Atsipirkimo vertinimas'!$N$19)/12)))</f>
        <v>0</v>
      </c>
      <c r="Q448" s="92">
        <f>IF(T448=0,0,S448*('Atsipirkimo vertinimas'!$N$19)/12)</f>
        <v>0</v>
      </c>
      <c r="R448" s="92">
        <f t="shared" si="46"/>
        <v>0</v>
      </c>
      <c r="S448" s="92">
        <f t="shared" si="47"/>
        <v>0</v>
      </c>
      <c r="T448">
        <f>IF(N448-'Atsipirkimo vertinimas'!$N$20&lt;0,0,1)</f>
        <v>1</v>
      </c>
      <c r="U448">
        <f>IF(N448-'Atsipirkimo vertinimas'!$N$20&gt;=0,0,1)</f>
        <v>0</v>
      </c>
      <c r="V448" s="92"/>
      <c r="W448" s="92"/>
      <c r="X448" s="88"/>
    </row>
    <row r="449" spans="3:24" x14ac:dyDescent="0.25">
      <c r="C449" s="88">
        <v>445</v>
      </c>
      <c r="D449" s="92">
        <f t="shared" si="42"/>
        <v>0.21672453703702987</v>
      </c>
      <c r="E449" s="92">
        <f>IF(H449=0,0,G449*('Atsipirkimo vertinimas'!$N$19)/12)</f>
        <v>-0.81383101851852568</v>
      </c>
      <c r="F449" s="92">
        <f>($G$4/('Atsipirkimo vertinimas'!$N$18*12-'Atsipirkimo vertinimas'!$N$20)*H449)</f>
        <v>0.97222222222222221</v>
      </c>
      <c r="G449" s="92">
        <f t="shared" si="45"/>
        <v>-199.30555555555728</v>
      </c>
      <c r="H449">
        <f>IF(C449-'Atsipirkimo vertinimas'!$N$20&lt;0,0,1)</f>
        <v>1</v>
      </c>
      <c r="I449" s="92"/>
      <c r="J449" s="92">
        <f t="shared" si="43"/>
        <v>0</v>
      </c>
      <c r="K449" s="92"/>
      <c r="L449" s="88"/>
      <c r="N449" s="88">
        <v>445</v>
      </c>
      <c r="O449" s="92">
        <f t="shared" si="44"/>
        <v>5.8333333333333355E-2</v>
      </c>
      <c r="P449" s="92">
        <f>IF($Z$64&lt;S449+(S449*(('Atsipirkimo vertinimas'!$N$19)/12)),($Z$64*T449)+(Q449*U449),S449+(S449*(('Atsipirkimo vertinimas'!$N$19)/12)))</f>
        <v>0</v>
      </c>
      <c r="Q449" s="92">
        <f>IF(T449=0,0,S449*('Atsipirkimo vertinimas'!$N$19)/12)</f>
        <v>0</v>
      </c>
      <c r="R449" s="92">
        <f t="shared" si="46"/>
        <v>0</v>
      </c>
      <c r="S449" s="92">
        <f t="shared" si="47"/>
        <v>0</v>
      </c>
      <c r="T449">
        <f>IF(N449-'Atsipirkimo vertinimas'!$N$20&lt;0,0,1)</f>
        <v>1</v>
      </c>
      <c r="U449">
        <f>IF(N449-'Atsipirkimo vertinimas'!$N$20&gt;=0,0,1)</f>
        <v>0</v>
      </c>
      <c r="V449" s="92"/>
      <c r="W449" s="92"/>
      <c r="X449" s="88"/>
    </row>
    <row r="450" spans="3:24" x14ac:dyDescent="0.25">
      <c r="C450" s="88">
        <v>446</v>
      </c>
      <c r="D450" s="92">
        <f t="shared" si="42"/>
        <v>0.21275462962962255</v>
      </c>
      <c r="E450" s="92">
        <f>IF(H450=0,0,G450*('Atsipirkimo vertinimas'!$N$19)/12)</f>
        <v>-0.81780092592593301</v>
      </c>
      <c r="F450" s="92">
        <f>($G$4/('Atsipirkimo vertinimas'!$N$18*12-'Atsipirkimo vertinimas'!$N$20)*H450)</f>
        <v>0.97222222222222221</v>
      </c>
      <c r="G450" s="92">
        <f t="shared" si="45"/>
        <v>-200.27777777777951</v>
      </c>
      <c r="H450">
        <f>IF(C450-'Atsipirkimo vertinimas'!$N$20&lt;0,0,1)</f>
        <v>1</v>
      </c>
      <c r="I450" s="92"/>
      <c r="J450" s="92">
        <f t="shared" si="43"/>
        <v>0</v>
      </c>
      <c r="K450" s="92"/>
      <c r="L450" s="88"/>
      <c r="N450" s="88">
        <v>446</v>
      </c>
      <c r="O450" s="92">
        <f t="shared" si="44"/>
        <v>5.8333333333333355E-2</v>
      </c>
      <c r="P450" s="92">
        <f>IF($Z$64&lt;S450+(S450*(('Atsipirkimo vertinimas'!$N$19)/12)),($Z$64*T450)+(Q450*U450),S450+(S450*(('Atsipirkimo vertinimas'!$N$19)/12)))</f>
        <v>0</v>
      </c>
      <c r="Q450" s="92">
        <f>IF(T450=0,0,S450*('Atsipirkimo vertinimas'!$N$19)/12)</f>
        <v>0</v>
      </c>
      <c r="R450" s="92">
        <f t="shared" si="46"/>
        <v>0</v>
      </c>
      <c r="S450" s="92">
        <f t="shared" si="47"/>
        <v>0</v>
      </c>
      <c r="T450">
        <f>IF(N450-'Atsipirkimo vertinimas'!$N$20&lt;0,0,1)</f>
        <v>1</v>
      </c>
      <c r="U450">
        <f>IF(N450-'Atsipirkimo vertinimas'!$N$20&gt;=0,0,1)</f>
        <v>0</v>
      </c>
      <c r="V450" s="92"/>
      <c r="W450" s="92"/>
      <c r="X450" s="88"/>
    </row>
    <row r="451" spans="3:24" x14ac:dyDescent="0.25">
      <c r="C451" s="88">
        <v>447</v>
      </c>
      <c r="D451" s="92">
        <f t="shared" si="42"/>
        <v>0.20878472222221511</v>
      </c>
      <c r="E451" s="92">
        <f>IF(H451=0,0,G451*('Atsipirkimo vertinimas'!$N$19)/12)</f>
        <v>-0.82177083333334044</v>
      </c>
      <c r="F451" s="92">
        <f>($G$4/('Atsipirkimo vertinimas'!$N$18*12-'Atsipirkimo vertinimas'!$N$20)*H451)</f>
        <v>0.97222222222222221</v>
      </c>
      <c r="G451" s="92">
        <f t="shared" si="45"/>
        <v>-201.25000000000173</v>
      </c>
      <c r="H451">
        <f>IF(C451-'Atsipirkimo vertinimas'!$N$20&lt;0,0,1)</f>
        <v>1</v>
      </c>
      <c r="I451" s="92"/>
      <c r="J451" s="92">
        <f t="shared" si="43"/>
        <v>0</v>
      </c>
      <c r="K451" s="92"/>
      <c r="L451" s="88"/>
      <c r="N451" s="88">
        <v>447</v>
      </c>
      <c r="O451" s="92">
        <f t="shared" si="44"/>
        <v>5.8333333333333355E-2</v>
      </c>
      <c r="P451" s="92">
        <f>IF($Z$64&lt;S451+(S451*(('Atsipirkimo vertinimas'!$N$19)/12)),($Z$64*T451)+(Q451*U451),S451+(S451*(('Atsipirkimo vertinimas'!$N$19)/12)))</f>
        <v>0</v>
      </c>
      <c r="Q451" s="92">
        <f>IF(T451=0,0,S451*('Atsipirkimo vertinimas'!$N$19)/12)</f>
        <v>0</v>
      </c>
      <c r="R451" s="92">
        <f t="shared" si="46"/>
        <v>0</v>
      </c>
      <c r="S451" s="92">
        <f t="shared" si="47"/>
        <v>0</v>
      </c>
      <c r="T451">
        <f>IF(N451-'Atsipirkimo vertinimas'!$N$20&lt;0,0,1)</f>
        <v>1</v>
      </c>
      <c r="U451">
        <f>IF(N451-'Atsipirkimo vertinimas'!$N$20&gt;=0,0,1)</f>
        <v>0</v>
      </c>
      <c r="V451" s="92"/>
      <c r="W451" s="92"/>
      <c r="X451" s="88"/>
    </row>
    <row r="452" spans="3:24" x14ac:dyDescent="0.25">
      <c r="C452" s="88">
        <v>448</v>
      </c>
      <c r="D452" s="92">
        <f t="shared" si="42"/>
        <v>0.20481481481480768</v>
      </c>
      <c r="E452" s="92">
        <f>IF(H452=0,0,G452*('Atsipirkimo vertinimas'!$N$19)/12)</f>
        <v>-0.82574074074074788</v>
      </c>
      <c r="F452" s="92">
        <f>($G$4/('Atsipirkimo vertinimas'!$N$18*12-'Atsipirkimo vertinimas'!$N$20)*H452)</f>
        <v>0.97222222222222221</v>
      </c>
      <c r="G452" s="92">
        <f t="shared" si="45"/>
        <v>-202.22222222222396</v>
      </c>
      <c r="H452">
        <f>IF(C452-'Atsipirkimo vertinimas'!$N$20&lt;0,0,1)</f>
        <v>1</v>
      </c>
      <c r="I452" s="92"/>
      <c r="J452" s="92">
        <f t="shared" si="43"/>
        <v>0</v>
      </c>
      <c r="K452" s="92"/>
      <c r="L452" s="88"/>
      <c r="N452" s="88">
        <v>448</v>
      </c>
      <c r="O452" s="92">
        <f t="shared" si="44"/>
        <v>5.8333333333333355E-2</v>
      </c>
      <c r="P452" s="92">
        <f>IF($Z$64&lt;S452+(S452*(('Atsipirkimo vertinimas'!$N$19)/12)),($Z$64*T452)+(Q452*U452),S452+(S452*(('Atsipirkimo vertinimas'!$N$19)/12)))</f>
        <v>0</v>
      </c>
      <c r="Q452" s="92">
        <f>IF(T452=0,0,S452*('Atsipirkimo vertinimas'!$N$19)/12)</f>
        <v>0</v>
      </c>
      <c r="R452" s="92">
        <f t="shared" si="46"/>
        <v>0</v>
      </c>
      <c r="S452" s="92">
        <f t="shared" si="47"/>
        <v>0</v>
      </c>
      <c r="T452">
        <f>IF(N452-'Atsipirkimo vertinimas'!$N$20&lt;0,0,1)</f>
        <v>1</v>
      </c>
      <c r="U452">
        <f>IF(N452-'Atsipirkimo vertinimas'!$N$20&gt;=0,0,1)</f>
        <v>0</v>
      </c>
      <c r="V452" s="92"/>
      <c r="W452" s="92"/>
      <c r="X452" s="88"/>
    </row>
    <row r="453" spans="3:24" x14ac:dyDescent="0.25">
      <c r="C453" s="88">
        <v>449</v>
      </c>
      <c r="D453" s="92">
        <f t="shared" ref="D453:D516" si="48">IF(H453=0,E453+F453,E453+F453+$K$4)</f>
        <v>0.20084490740740035</v>
      </c>
      <c r="E453" s="92">
        <f>IF(H453=0,0,G453*('Atsipirkimo vertinimas'!$N$19)/12)</f>
        <v>-0.82971064814815521</v>
      </c>
      <c r="F453" s="92">
        <f>($G$4/('Atsipirkimo vertinimas'!$N$18*12-'Atsipirkimo vertinimas'!$N$20)*H453)</f>
        <v>0.97222222222222221</v>
      </c>
      <c r="G453" s="92">
        <f t="shared" si="45"/>
        <v>-203.19444444444619</v>
      </c>
      <c r="H453">
        <f>IF(C453-'Atsipirkimo vertinimas'!$N$20&lt;0,0,1)</f>
        <v>1</v>
      </c>
      <c r="I453" s="92"/>
      <c r="J453" s="92">
        <f t="shared" ref="J453:J516" si="49">IF(H453=0,G453*(0.03)/12,0)</f>
        <v>0</v>
      </c>
      <c r="K453" s="92"/>
      <c r="L453" s="88"/>
      <c r="N453" s="88">
        <v>449</v>
      </c>
      <c r="O453" s="92">
        <f t="shared" ref="O453:O516" si="50">IF(T453=0,0,($X$4+P453))</f>
        <v>5.8333333333333355E-2</v>
      </c>
      <c r="P453" s="92">
        <f>IF($Z$64&lt;S453+(S453*(('Atsipirkimo vertinimas'!$N$19)/12)),($Z$64*T453)+(Q453*U453),S453+(S453*(('Atsipirkimo vertinimas'!$N$19)/12)))</f>
        <v>0</v>
      </c>
      <c r="Q453" s="92">
        <f>IF(T453=0,0,S453*('Atsipirkimo vertinimas'!$N$19)/12)</f>
        <v>0</v>
      </c>
      <c r="R453" s="92">
        <f t="shared" si="46"/>
        <v>0</v>
      </c>
      <c r="S453" s="92">
        <f t="shared" si="47"/>
        <v>0</v>
      </c>
      <c r="T453">
        <f>IF(N453-'Atsipirkimo vertinimas'!$N$20&lt;0,0,1)</f>
        <v>1</v>
      </c>
      <c r="U453">
        <f>IF(N453-'Atsipirkimo vertinimas'!$N$20&gt;=0,0,1)</f>
        <v>0</v>
      </c>
      <c r="V453" s="92"/>
      <c r="W453" s="92"/>
      <c r="X453" s="88"/>
    </row>
    <row r="454" spans="3:24" x14ac:dyDescent="0.25">
      <c r="C454" s="88">
        <v>450</v>
      </c>
      <c r="D454" s="92">
        <f t="shared" si="48"/>
        <v>0.19687499999999281</v>
      </c>
      <c r="E454" s="92">
        <f>IF(H454=0,0,G454*('Atsipirkimo vertinimas'!$N$19)/12)</f>
        <v>-0.83368055555556275</v>
      </c>
      <c r="F454" s="92">
        <f>($G$4/('Atsipirkimo vertinimas'!$N$18*12-'Atsipirkimo vertinimas'!$N$20)*H454)</f>
        <v>0.97222222222222221</v>
      </c>
      <c r="G454" s="92">
        <f t="shared" ref="G454:G517" si="51">(G453-F453)</f>
        <v>-204.16666666666842</v>
      </c>
      <c r="H454">
        <f>IF(C454-'Atsipirkimo vertinimas'!$N$20&lt;0,0,1)</f>
        <v>1</v>
      </c>
      <c r="I454" s="92"/>
      <c r="J454" s="92">
        <f t="shared" si="49"/>
        <v>0</v>
      </c>
      <c r="K454" s="92"/>
      <c r="L454" s="88"/>
      <c r="N454" s="88">
        <v>450</v>
      </c>
      <c r="O454" s="92">
        <f t="shared" si="50"/>
        <v>5.8333333333333355E-2</v>
      </c>
      <c r="P454" s="92">
        <f>IF($Z$64&lt;S454+(S454*(('Atsipirkimo vertinimas'!$N$19)/12)),($Z$64*T454)+(Q454*U454),S454+(S454*(('Atsipirkimo vertinimas'!$N$19)/12)))</f>
        <v>0</v>
      </c>
      <c r="Q454" s="92">
        <f>IF(T454=0,0,S454*('Atsipirkimo vertinimas'!$N$19)/12)</f>
        <v>0</v>
      </c>
      <c r="R454" s="92">
        <f t="shared" ref="R454:R517" si="52">(P454-Q454)*T454</f>
        <v>0</v>
      </c>
      <c r="S454" s="92">
        <f t="shared" ref="S454:S517" si="53">(S453-R453)</f>
        <v>0</v>
      </c>
      <c r="T454">
        <f>IF(N454-'Atsipirkimo vertinimas'!$N$20&lt;0,0,1)</f>
        <v>1</v>
      </c>
      <c r="U454">
        <f>IF(N454-'Atsipirkimo vertinimas'!$N$20&gt;=0,0,1)</f>
        <v>0</v>
      </c>
      <c r="V454" s="92"/>
      <c r="W454" s="92"/>
      <c r="X454" s="88"/>
    </row>
    <row r="455" spans="3:24" x14ac:dyDescent="0.25">
      <c r="C455" s="88">
        <v>451</v>
      </c>
      <c r="D455" s="92">
        <f t="shared" si="48"/>
        <v>0.19290509259258537</v>
      </c>
      <c r="E455" s="92">
        <f>IF(H455=0,0,G455*('Atsipirkimo vertinimas'!$N$19)/12)</f>
        <v>-0.83765046296297019</v>
      </c>
      <c r="F455" s="92">
        <f>($G$4/('Atsipirkimo vertinimas'!$N$18*12-'Atsipirkimo vertinimas'!$N$20)*H455)</f>
        <v>0.97222222222222221</v>
      </c>
      <c r="G455" s="92">
        <f t="shared" si="51"/>
        <v>-205.13888888889065</v>
      </c>
      <c r="H455">
        <f>IF(C455-'Atsipirkimo vertinimas'!$N$20&lt;0,0,1)</f>
        <v>1</v>
      </c>
      <c r="I455" s="92"/>
      <c r="J455" s="92">
        <f t="shared" si="49"/>
        <v>0</v>
      </c>
      <c r="K455" s="92"/>
      <c r="L455" s="88"/>
      <c r="N455" s="88">
        <v>451</v>
      </c>
      <c r="O455" s="92">
        <f t="shared" si="50"/>
        <v>5.8333333333333355E-2</v>
      </c>
      <c r="P455" s="92">
        <f>IF($Z$64&lt;S455+(S455*(('Atsipirkimo vertinimas'!$N$19)/12)),($Z$64*T455)+(Q455*U455),S455+(S455*(('Atsipirkimo vertinimas'!$N$19)/12)))</f>
        <v>0</v>
      </c>
      <c r="Q455" s="92">
        <f>IF(T455=0,0,S455*('Atsipirkimo vertinimas'!$N$19)/12)</f>
        <v>0</v>
      </c>
      <c r="R455" s="92">
        <f t="shared" si="52"/>
        <v>0</v>
      </c>
      <c r="S455" s="92">
        <f t="shared" si="53"/>
        <v>0</v>
      </c>
      <c r="T455">
        <f>IF(N455-'Atsipirkimo vertinimas'!$N$20&lt;0,0,1)</f>
        <v>1</v>
      </c>
      <c r="U455">
        <f>IF(N455-'Atsipirkimo vertinimas'!$N$20&gt;=0,0,1)</f>
        <v>0</v>
      </c>
      <c r="V455" s="92"/>
      <c r="W455" s="92"/>
      <c r="X455" s="88"/>
    </row>
    <row r="456" spans="3:24" x14ac:dyDescent="0.25">
      <c r="C456" s="88">
        <v>452</v>
      </c>
      <c r="D456" s="92">
        <f t="shared" si="48"/>
        <v>0.18893518518517793</v>
      </c>
      <c r="E456" s="92">
        <f>IF(H456=0,0,G456*('Atsipirkimo vertinimas'!$N$19)/12)</f>
        <v>-0.84162037037037762</v>
      </c>
      <c r="F456" s="92">
        <f>($G$4/('Atsipirkimo vertinimas'!$N$18*12-'Atsipirkimo vertinimas'!$N$20)*H456)</f>
        <v>0.97222222222222221</v>
      </c>
      <c r="G456" s="92">
        <f t="shared" si="51"/>
        <v>-206.11111111111288</v>
      </c>
      <c r="H456">
        <f>IF(C456-'Atsipirkimo vertinimas'!$N$20&lt;0,0,1)</f>
        <v>1</v>
      </c>
      <c r="I456" s="92"/>
      <c r="J456" s="92">
        <f t="shared" si="49"/>
        <v>0</v>
      </c>
      <c r="K456" s="92"/>
      <c r="L456" s="88"/>
      <c r="N456" s="88">
        <v>452</v>
      </c>
      <c r="O456" s="92">
        <f t="shared" si="50"/>
        <v>5.8333333333333355E-2</v>
      </c>
      <c r="P456" s="92">
        <f>IF($Z$64&lt;S456+(S456*(('Atsipirkimo vertinimas'!$N$19)/12)),($Z$64*T456)+(Q456*U456),S456+(S456*(('Atsipirkimo vertinimas'!$N$19)/12)))</f>
        <v>0</v>
      </c>
      <c r="Q456" s="92">
        <f>IF(T456=0,0,S456*('Atsipirkimo vertinimas'!$N$19)/12)</f>
        <v>0</v>
      </c>
      <c r="R456" s="92">
        <f t="shared" si="52"/>
        <v>0</v>
      </c>
      <c r="S456" s="92">
        <f t="shared" si="53"/>
        <v>0</v>
      </c>
      <c r="T456">
        <f>IF(N456-'Atsipirkimo vertinimas'!$N$20&lt;0,0,1)</f>
        <v>1</v>
      </c>
      <c r="U456">
        <f>IF(N456-'Atsipirkimo vertinimas'!$N$20&gt;=0,0,1)</f>
        <v>0</v>
      </c>
      <c r="V456" s="92"/>
      <c r="W456" s="92"/>
      <c r="X456" s="88"/>
    </row>
    <row r="457" spans="3:24" x14ac:dyDescent="0.25">
      <c r="C457" s="88">
        <v>453</v>
      </c>
      <c r="D457" s="92">
        <f t="shared" si="48"/>
        <v>0.18496527777777061</v>
      </c>
      <c r="E457" s="92">
        <f>IF(H457=0,0,G457*('Atsipirkimo vertinimas'!$N$19)/12)</f>
        <v>-0.84559027777778495</v>
      </c>
      <c r="F457" s="92">
        <f>($G$4/('Atsipirkimo vertinimas'!$N$18*12-'Atsipirkimo vertinimas'!$N$20)*H457)</f>
        <v>0.97222222222222221</v>
      </c>
      <c r="G457" s="92">
        <f t="shared" si="51"/>
        <v>-207.0833333333351</v>
      </c>
      <c r="H457">
        <f>IF(C457-'Atsipirkimo vertinimas'!$N$20&lt;0,0,1)</f>
        <v>1</v>
      </c>
      <c r="I457" s="92"/>
      <c r="J457" s="92">
        <f t="shared" si="49"/>
        <v>0</v>
      </c>
      <c r="K457" s="92"/>
      <c r="L457" s="88"/>
      <c r="N457" s="88">
        <v>453</v>
      </c>
      <c r="O457" s="92">
        <f t="shared" si="50"/>
        <v>5.8333333333333355E-2</v>
      </c>
      <c r="P457" s="92">
        <f>IF($Z$64&lt;S457+(S457*(('Atsipirkimo vertinimas'!$N$19)/12)),($Z$64*T457)+(Q457*U457),S457+(S457*(('Atsipirkimo vertinimas'!$N$19)/12)))</f>
        <v>0</v>
      </c>
      <c r="Q457" s="92">
        <f>IF(T457=0,0,S457*('Atsipirkimo vertinimas'!$N$19)/12)</f>
        <v>0</v>
      </c>
      <c r="R457" s="92">
        <f t="shared" si="52"/>
        <v>0</v>
      </c>
      <c r="S457" s="92">
        <f t="shared" si="53"/>
        <v>0</v>
      </c>
      <c r="T457">
        <f>IF(N457-'Atsipirkimo vertinimas'!$N$20&lt;0,0,1)</f>
        <v>1</v>
      </c>
      <c r="U457">
        <f>IF(N457-'Atsipirkimo vertinimas'!$N$20&gt;=0,0,1)</f>
        <v>0</v>
      </c>
      <c r="V457" s="92"/>
      <c r="W457" s="92"/>
      <c r="X457" s="88"/>
    </row>
    <row r="458" spans="3:24" x14ac:dyDescent="0.25">
      <c r="C458" s="88">
        <v>454</v>
      </c>
      <c r="D458" s="92">
        <f t="shared" si="48"/>
        <v>0.18099537037036306</v>
      </c>
      <c r="E458" s="92">
        <f>IF(H458=0,0,G458*('Atsipirkimo vertinimas'!$N$19)/12)</f>
        <v>-0.8495601851851925</v>
      </c>
      <c r="F458" s="92">
        <f>($G$4/('Atsipirkimo vertinimas'!$N$18*12-'Atsipirkimo vertinimas'!$N$20)*H458)</f>
        <v>0.97222222222222221</v>
      </c>
      <c r="G458" s="92">
        <f t="shared" si="51"/>
        <v>-208.05555555555733</v>
      </c>
      <c r="H458">
        <f>IF(C458-'Atsipirkimo vertinimas'!$N$20&lt;0,0,1)</f>
        <v>1</v>
      </c>
      <c r="I458" s="92"/>
      <c r="J458" s="92">
        <f t="shared" si="49"/>
        <v>0</v>
      </c>
      <c r="K458" s="92"/>
      <c r="L458" s="88"/>
      <c r="N458" s="88">
        <v>454</v>
      </c>
      <c r="O458" s="92">
        <f t="shared" si="50"/>
        <v>5.8333333333333355E-2</v>
      </c>
      <c r="P458" s="92">
        <f>IF($Z$64&lt;S458+(S458*(('Atsipirkimo vertinimas'!$N$19)/12)),($Z$64*T458)+(Q458*U458),S458+(S458*(('Atsipirkimo vertinimas'!$N$19)/12)))</f>
        <v>0</v>
      </c>
      <c r="Q458" s="92">
        <f>IF(T458=0,0,S458*('Atsipirkimo vertinimas'!$N$19)/12)</f>
        <v>0</v>
      </c>
      <c r="R458" s="92">
        <f t="shared" si="52"/>
        <v>0</v>
      </c>
      <c r="S458" s="92">
        <f t="shared" si="53"/>
        <v>0</v>
      </c>
      <c r="T458">
        <f>IF(N458-'Atsipirkimo vertinimas'!$N$20&lt;0,0,1)</f>
        <v>1</v>
      </c>
      <c r="U458">
        <f>IF(N458-'Atsipirkimo vertinimas'!$N$20&gt;=0,0,1)</f>
        <v>0</v>
      </c>
      <c r="V458" s="92"/>
      <c r="W458" s="92"/>
      <c r="X458" s="88"/>
    </row>
    <row r="459" spans="3:24" x14ac:dyDescent="0.25">
      <c r="C459" s="88">
        <v>455</v>
      </c>
      <c r="D459" s="92">
        <f t="shared" si="48"/>
        <v>0.17702546296295563</v>
      </c>
      <c r="E459" s="92">
        <f>IF(H459=0,0,G459*('Atsipirkimo vertinimas'!$N$19)/12)</f>
        <v>-0.85353009259259993</v>
      </c>
      <c r="F459" s="92">
        <f>($G$4/('Atsipirkimo vertinimas'!$N$18*12-'Atsipirkimo vertinimas'!$N$20)*H459)</f>
        <v>0.97222222222222221</v>
      </c>
      <c r="G459" s="92">
        <f t="shared" si="51"/>
        <v>-209.02777777777956</v>
      </c>
      <c r="H459">
        <f>IF(C459-'Atsipirkimo vertinimas'!$N$20&lt;0,0,1)</f>
        <v>1</v>
      </c>
      <c r="I459" s="92"/>
      <c r="J459" s="92">
        <f t="shared" si="49"/>
        <v>0</v>
      </c>
      <c r="K459" s="92"/>
      <c r="L459" s="91">
        <f>IF('Atsipirkimo vertinimas'!$N$18*12&gt;Grafikas!C459,SUM(D448:D459),0)</f>
        <v>0</v>
      </c>
      <c r="N459" s="88">
        <v>455</v>
      </c>
      <c r="O459" s="92">
        <f t="shared" si="50"/>
        <v>5.8333333333333355E-2</v>
      </c>
      <c r="P459" s="92">
        <f>IF($Z$64&lt;S459+(S459*(('Atsipirkimo vertinimas'!$N$19)/12)),($Z$64*T459)+(Q459*U459),S459+(S459*(('Atsipirkimo vertinimas'!$N$19)/12)))</f>
        <v>0</v>
      </c>
      <c r="Q459" s="92">
        <f>IF(T459=0,0,S459*('Atsipirkimo vertinimas'!$N$19)/12)</f>
        <v>0</v>
      </c>
      <c r="R459" s="92">
        <f t="shared" si="52"/>
        <v>0</v>
      </c>
      <c r="S459" s="92">
        <f t="shared" si="53"/>
        <v>0</v>
      </c>
      <c r="T459">
        <f>IF(N459-'Atsipirkimo vertinimas'!$N$20&lt;0,0,1)</f>
        <v>1</v>
      </c>
      <c r="U459">
        <f>IF(N459-'Atsipirkimo vertinimas'!$N$20&gt;=0,0,1)</f>
        <v>0</v>
      </c>
      <c r="V459" s="92"/>
      <c r="W459" s="92"/>
      <c r="X459" s="91">
        <f>IF('Atsipirkimo vertinimas'!$N$18*12&gt;Grafikas!C459,SUM(O448:O459),0)</f>
        <v>0</v>
      </c>
    </row>
    <row r="460" spans="3:24" x14ac:dyDescent="0.25">
      <c r="C460" s="88">
        <v>456</v>
      </c>
      <c r="D460" s="92">
        <f t="shared" si="48"/>
        <v>0.17305555555554819</v>
      </c>
      <c r="E460" s="92">
        <f>IF(H460=0,0,G460*('Atsipirkimo vertinimas'!$N$19)/12)</f>
        <v>-0.85750000000000737</v>
      </c>
      <c r="F460" s="92">
        <f>($G$4/('Atsipirkimo vertinimas'!$N$18*12-'Atsipirkimo vertinimas'!$N$20)*H460)</f>
        <v>0.97222222222222221</v>
      </c>
      <c r="G460" s="92">
        <f t="shared" si="51"/>
        <v>-210.00000000000179</v>
      </c>
      <c r="H460">
        <f>IF(C460-'Atsipirkimo vertinimas'!$N$20&lt;0,0,1)</f>
        <v>1</v>
      </c>
      <c r="I460" s="92"/>
      <c r="J460" s="92">
        <f t="shared" si="49"/>
        <v>0</v>
      </c>
      <c r="K460" s="92"/>
      <c r="L460" s="88"/>
      <c r="N460" s="88">
        <v>456</v>
      </c>
      <c r="O460" s="92">
        <f t="shared" si="50"/>
        <v>5.8333333333333355E-2</v>
      </c>
      <c r="P460" s="92">
        <f>IF($Z$64&lt;S460+(S460*(('Atsipirkimo vertinimas'!$N$19)/12)),($Z$64*T460)+(Q460*U460),S460+(S460*(('Atsipirkimo vertinimas'!$N$19)/12)))</f>
        <v>0</v>
      </c>
      <c r="Q460" s="92">
        <f>IF(T460=0,0,S460*('Atsipirkimo vertinimas'!$N$19)/12)</f>
        <v>0</v>
      </c>
      <c r="R460" s="92">
        <f t="shared" si="52"/>
        <v>0</v>
      </c>
      <c r="S460" s="92">
        <f t="shared" si="53"/>
        <v>0</v>
      </c>
      <c r="T460">
        <f>IF(N460-'Atsipirkimo vertinimas'!$N$20&lt;0,0,1)</f>
        <v>1</v>
      </c>
      <c r="U460">
        <f>IF(N460-'Atsipirkimo vertinimas'!$N$20&gt;=0,0,1)</f>
        <v>0</v>
      </c>
      <c r="V460" s="92"/>
      <c r="W460" s="92"/>
      <c r="X460" s="88"/>
    </row>
    <row r="461" spans="3:24" x14ac:dyDescent="0.25">
      <c r="C461" s="88">
        <v>457</v>
      </c>
      <c r="D461" s="92">
        <f t="shared" si="48"/>
        <v>0.16908564814814087</v>
      </c>
      <c r="E461" s="92">
        <f>IF(H461=0,0,G461*('Atsipirkimo vertinimas'!$N$19)/12)</f>
        <v>-0.86146990740741469</v>
      </c>
      <c r="F461" s="92">
        <f>($G$4/('Atsipirkimo vertinimas'!$N$18*12-'Atsipirkimo vertinimas'!$N$20)*H461)</f>
        <v>0.97222222222222221</v>
      </c>
      <c r="G461" s="92">
        <f t="shared" si="51"/>
        <v>-210.97222222222402</v>
      </c>
      <c r="H461">
        <f>IF(C461-'Atsipirkimo vertinimas'!$N$20&lt;0,0,1)</f>
        <v>1</v>
      </c>
      <c r="I461" s="92"/>
      <c r="J461" s="92">
        <f t="shared" si="49"/>
        <v>0</v>
      </c>
      <c r="K461" s="92"/>
      <c r="L461" s="88"/>
      <c r="N461" s="88">
        <v>457</v>
      </c>
      <c r="O461" s="92">
        <f t="shared" si="50"/>
        <v>5.8333333333333355E-2</v>
      </c>
      <c r="P461" s="92">
        <f>IF($Z$64&lt;S461+(S461*(('Atsipirkimo vertinimas'!$N$19)/12)),($Z$64*T461)+(Q461*U461),S461+(S461*(('Atsipirkimo vertinimas'!$N$19)/12)))</f>
        <v>0</v>
      </c>
      <c r="Q461" s="92">
        <f>IF(T461=0,0,S461*('Atsipirkimo vertinimas'!$N$19)/12)</f>
        <v>0</v>
      </c>
      <c r="R461" s="92">
        <f t="shared" si="52"/>
        <v>0</v>
      </c>
      <c r="S461" s="92">
        <f t="shared" si="53"/>
        <v>0</v>
      </c>
      <c r="T461">
        <f>IF(N461-'Atsipirkimo vertinimas'!$N$20&lt;0,0,1)</f>
        <v>1</v>
      </c>
      <c r="U461">
        <f>IF(N461-'Atsipirkimo vertinimas'!$N$20&gt;=0,0,1)</f>
        <v>0</v>
      </c>
      <c r="V461" s="92"/>
      <c r="W461" s="92"/>
      <c r="X461" s="88"/>
    </row>
    <row r="462" spans="3:24" x14ac:dyDescent="0.25">
      <c r="C462" s="88">
        <v>458</v>
      </c>
      <c r="D462" s="92">
        <f t="shared" si="48"/>
        <v>0.16511574074073332</v>
      </c>
      <c r="E462" s="92">
        <f>IF(H462=0,0,G462*('Atsipirkimo vertinimas'!$N$19)/12)</f>
        <v>-0.86543981481482224</v>
      </c>
      <c r="F462" s="92">
        <f>($G$4/('Atsipirkimo vertinimas'!$N$18*12-'Atsipirkimo vertinimas'!$N$20)*H462)</f>
        <v>0.97222222222222221</v>
      </c>
      <c r="G462" s="92">
        <f t="shared" si="51"/>
        <v>-211.94444444444625</v>
      </c>
      <c r="H462">
        <f>IF(C462-'Atsipirkimo vertinimas'!$N$20&lt;0,0,1)</f>
        <v>1</v>
      </c>
      <c r="I462" s="92"/>
      <c r="J462" s="92">
        <f t="shared" si="49"/>
        <v>0</v>
      </c>
      <c r="K462" s="92"/>
      <c r="L462" s="88"/>
      <c r="N462" s="88">
        <v>458</v>
      </c>
      <c r="O462" s="92">
        <f t="shared" si="50"/>
        <v>5.8333333333333355E-2</v>
      </c>
      <c r="P462" s="92">
        <f>IF($Z$64&lt;S462+(S462*(('Atsipirkimo vertinimas'!$N$19)/12)),($Z$64*T462)+(Q462*U462),S462+(S462*(('Atsipirkimo vertinimas'!$N$19)/12)))</f>
        <v>0</v>
      </c>
      <c r="Q462" s="92">
        <f>IF(T462=0,0,S462*('Atsipirkimo vertinimas'!$N$19)/12)</f>
        <v>0</v>
      </c>
      <c r="R462" s="92">
        <f t="shared" si="52"/>
        <v>0</v>
      </c>
      <c r="S462" s="92">
        <f t="shared" si="53"/>
        <v>0</v>
      </c>
      <c r="T462">
        <f>IF(N462-'Atsipirkimo vertinimas'!$N$20&lt;0,0,1)</f>
        <v>1</v>
      </c>
      <c r="U462">
        <f>IF(N462-'Atsipirkimo vertinimas'!$N$20&gt;=0,0,1)</f>
        <v>0</v>
      </c>
      <c r="V462" s="92"/>
      <c r="W462" s="92"/>
      <c r="X462" s="88"/>
    </row>
    <row r="463" spans="3:24" x14ac:dyDescent="0.25">
      <c r="C463" s="88">
        <v>459</v>
      </c>
      <c r="D463" s="92">
        <f t="shared" si="48"/>
        <v>0.16114583333332588</v>
      </c>
      <c r="E463" s="92">
        <f>IF(H463=0,0,G463*('Atsipirkimo vertinimas'!$N$19)/12)</f>
        <v>-0.86940972222222968</v>
      </c>
      <c r="F463" s="92">
        <f>($G$4/('Atsipirkimo vertinimas'!$N$18*12-'Atsipirkimo vertinimas'!$N$20)*H463)</f>
        <v>0.97222222222222221</v>
      </c>
      <c r="G463" s="92">
        <f t="shared" si="51"/>
        <v>-212.91666666666848</v>
      </c>
      <c r="H463">
        <f>IF(C463-'Atsipirkimo vertinimas'!$N$20&lt;0,0,1)</f>
        <v>1</v>
      </c>
      <c r="I463" s="92"/>
      <c r="J463" s="92">
        <f t="shared" si="49"/>
        <v>0</v>
      </c>
      <c r="K463" s="92"/>
      <c r="L463" s="88"/>
      <c r="N463" s="88">
        <v>459</v>
      </c>
      <c r="O463" s="92">
        <f t="shared" si="50"/>
        <v>5.8333333333333355E-2</v>
      </c>
      <c r="P463" s="92">
        <f>IF($Z$64&lt;S463+(S463*(('Atsipirkimo vertinimas'!$N$19)/12)),($Z$64*T463)+(Q463*U463),S463+(S463*(('Atsipirkimo vertinimas'!$N$19)/12)))</f>
        <v>0</v>
      </c>
      <c r="Q463" s="92">
        <f>IF(T463=0,0,S463*('Atsipirkimo vertinimas'!$N$19)/12)</f>
        <v>0</v>
      </c>
      <c r="R463" s="92">
        <f t="shared" si="52"/>
        <v>0</v>
      </c>
      <c r="S463" s="92">
        <f t="shared" si="53"/>
        <v>0</v>
      </c>
      <c r="T463">
        <f>IF(N463-'Atsipirkimo vertinimas'!$N$20&lt;0,0,1)</f>
        <v>1</v>
      </c>
      <c r="U463">
        <f>IF(N463-'Atsipirkimo vertinimas'!$N$20&gt;=0,0,1)</f>
        <v>0</v>
      </c>
      <c r="V463" s="92"/>
      <c r="W463" s="92"/>
      <c r="X463" s="88"/>
    </row>
    <row r="464" spans="3:24" x14ac:dyDescent="0.25">
      <c r="C464" s="88">
        <v>460</v>
      </c>
      <c r="D464" s="92">
        <f t="shared" si="48"/>
        <v>0.15717592592591845</v>
      </c>
      <c r="E464" s="92">
        <f>IF(H464=0,0,G464*('Atsipirkimo vertinimas'!$N$19)/12)</f>
        <v>-0.87337962962963711</v>
      </c>
      <c r="F464" s="92">
        <f>($G$4/('Atsipirkimo vertinimas'!$N$18*12-'Atsipirkimo vertinimas'!$N$20)*H464)</f>
        <v>0.97222222222222221</v>
      </c>
      <c r="G464" s="92">
        <f t="shared" si="51"/>
        <v>-213.8888888888907</v>
      </c>
      <c r="H464">
        <f>IF(C464-'Atsipirkimo vertinimas'!$N$20&lt;0,0,1)</f>
        <v>1</v>
      </c>
      <c r="I464" s="92"/>
      <c r="J464" s="92">
        <f t="shared" si="49"/>
        <v>0</v>
      </c>
      <c r="K464" s="92"/>
      <c r="L464" s="88"/>
      <c r="N464" s="88">
        <v>460</v>
      </c>
      <c r="O464" s="92">
        <f t="shared" si="50"/>
        <v>5.8333333333333355E-2</v>
      </c>
      <c r="P464" s="92">
        <f>IF($Z$64&lt;S464+(S464*(('Atsipirkimo vertinimas'!$N$19)/12)),($Z$64*T464)+(Q464*U464),S464+(S464*(('Atsipirkimo vertinimas'!$N$19)/12)))</f>
        <v>0</v>
      </c>
      <c r="Q464" s="92">
        <f>IF(T464=0,0,S464*('Atsipirkimo vertinimas'!$N$19)/12)</f>
        <v>0</v>
      </c>
      <c r="R464" s="92">
        <f t="shared" si="52"/>
        <v>0</v>
      </c>
      <c r="S464" s="92">
        <f t="shared" si="53"/>
        <v>0</v>
      </c>
      <c r="T464">
        <f>IF(N464-'Atsipirkimo vertinimas'!$N$20&lt;0,0,1)</f>
        <v>1</v>
      </c>
      <c r="U464">
        <f>IF(N464-'Atsipirkimo vertinimas'!$N$20&gt;=0,0,1)</f>
        <v>0</v>
      </c>
      <c r="V464" s="92"/>
      <c r="W464" s="92"/>
      <c r="X464" s="88"/>
    </row>
    <row r="465" spans="3:24" x14ac:dyDescent="0.25">
      <c r="C465" s="88">
        <v>461</v>
      </c>
      <c r="D465" s="92">
        <f t="shared" si="48"/>
        <v>0.15320601851851112</v>
      </c>
      <c r="E465" s="92">
        <f>IF(H465=0,0,G465*('Atsipirkimo vertinimas'!$N$19)/12)</f>
        <v>-0.87734953703704444</v>
      </c>
      <c r="F465" s="92">
        <f>($G$4/('Atsipirkimo vertinimas'!$N$18*12-'Atsipirkimo vertinimas'!$N$20)*H465)</f>
        <v>0.97222222222222221</v>
      </c>
      <c r="G465" s="92">
        <f t="shared" si="51"/>
        <v>-214.86111111111293</v>
      </c>
      <c r="H465">
        <f>IF(C465-'Atsipirkimo vertinimas'!$N$20&lt;0,0,1)</f>
        <v>1</v>
      </c>
      <c r="I465" s="92"/>
      <c r="J465" s="92">
        <f t="shared" si="49"/>
        <v>0</v>
      </c>
      <c r="K465" s="92"/>
      <c r="L465" s="88"/>
      <c r="N465" s="88">
        <v>461</v>
      </c>
      <c r="O465" s="92">
        <f t="shared" si="50"/>
        <v>5.8333333333333355E-2</v>
      </c>
      <c r="P465" s="92">
        <f>IF($Z$64&lt;S465+(S465*(('Atsipirkimo vertinimas'!$N$19)/12)),($Z$64*T465)+(Q465*U465),S465+(S465*(('Atsipirkimo vertinimas'!$N$19)/12)))</f>
        <v>0</v>
      </c>
      <c r="Q465" s="92">
        <f>IF(T465=0,0,S465*('Atsipirkimo vertinimas'!$N$19)/12)</f>
        <v>0</v>
      </c>
      <c r="R465" s="92">
        <f t="shared" si="52"/>
        <v>0</v>
      </c>
      <c r="S465" s="92">
        <f t="shared" si="53"/>
        <v>0</v>
      </c>
      <c r="T465">
        <f>IF(N465-'Atsipirkimo vertinimas'!$N$20&lt;0,0,1)</f>
        <v>1</v>
      </c>
      <c r="U465">
        <f>IF(N465-'Atsipirkimo vertinimas'!$N$20&gt;=0,0,1)</f>
        <v>0</v>
      </c>
      <c r="V465" s="92"/>
      <c r="W465" s="92"/>
      <c r="X465" s="88"/>
    </row>
    <row r="466" spans="3:24" x14ac:dyDescent="0.25">
      <c r="C466" s="88">
        <v>462</v>
      </c>
      <c r="D466" s="92">
        <f t="shared" si="48"/>
        <v>0.14923611111110369</v>
      </c>
      <c r="E466" s="92">
        <f>IF(H466=0,0,G466*('Atsipirkimo vertinimas'!$N$19)/12)</f>
        <v>-0.88131944444445187</v>
      </c>
      <c r="F466" s="92">
        <f>($G$4/('Atsipirkimo vertinimas'!$N$18*12-'Atsipirkimo vertinimas'!$N$20)*H466)</f>
        <v>0.97222222222222221</v>
      </c>
      <c r="G466" s="92">
        <f t="shared" si="51"/>
        <v>-215.83333333333516</v>
      </c>
      <c r="H466">
        <f>IF(C466-'Atsipirkimo vertinimas'!$N$20&lt;0,0,1)</f>
        <v>1</v>
      </c>
      <c r="I466" s="92"/>
      <c r="J466" s="92">
        <f t="shared" si="49"/>
        <v>0</v>
      </c>
      <c r="K466" s="92"/>
      <c r="L466" s="88"/>
      <c r="N466" s="88">
        <v>462</v>
      </c>
      <c r="O466" s="92">
        <f t="shared" si="50"/>
        <v>5.8333333333333355E-2</v>
      </c>
      <c r="P466" s="92">
        <f>IF($Z$64&lt;S466+(S466*(('Atsipirkimo vertinimas'!$N$19)/12)),($Z$64*T466)+(Q466*U466),S466+(S466*(('Atsipirkimo vertinimas'!$N$19)/12)))</f>
        <v>0</v>
      </c>
      <c r="Q466" s="92">
        <f>IF(T466=0,0,S466*('Atsipirkimo vertinimas'!$N$19)/12)</f>
        <v>0</v>
      </c>
      <c r="R466" s="92">
        <f t="shared" si="52"/>
        <v>0</v>
      </c>
      <c r="S466" s="92">
        <f t="shared" si="53"/>
        <v>0</v>
      </c>
      <c r="T466">
        <f>IF(N466-'Atsipirkimo vertinimas'!$N$20&lt;0,0,1)</f>
        <v>1</v>
      </c>
      <c r="U466">
        <f>IF(N466-'Atsipirkimo vertinimas'!$N$20&gt;=0,0,1)</f>
        <v>0</v>
      </c>
      <c r="V466" s="92"/>
      <c r="W466" s="92"/>
      <c r="X466" s="88"/>
    </row>
    <row r="467" spans="3:24" x14ac:dyDescent="0.25">
      <c r="C467" s="88">
        <v>463</v>
      </c>
      <c r="D467" s="92">
        <f t="shared" si="48"/>
        <v>0.14526620370369614</v>
      </c>
      <c r="E467" s="92">
        <f>IF(H467=0,0,G467*('Atsipirkimo vertinimas'!$N$19)/12)</f>
        <v>-0.88528935185185942</v>
      </c>
      <c r="F467" s="92">
        <f>($G$4/('Atsipirkimo vertinimas'!$N$18*12-'Atsipirkimo vertinimas'!$N$20)*H467)</f>
        <v>0.97222222222222221</v>
      </c>
      <c r="G467" s="92">
        <f t="shared" si="51"/>
        <v>-216.80555555555739</v>
      </c>
      <c r="H467">
        <f>IF(C467-'Atsipirkimo vertinimas'!$N$20&lt;0,0,1)</f>
        <v>1</v>
      </c>
      <c r="I467" s="92"/>
      <c r="J467" s="92">
        <f t="shared" si="49"/>
        <v>0</v>
      </c>
      <c r="K467" s="92"/>
      <c r="L467" s="88"/>
      <c r="N467" s="88">
        <v>463</v>
      </c>
      <c r="O467" s="92">
        <f t="shared" si="50"/>
        <v>5.8333333333333355E-2</v>
      </c>
      <c r="P467" s="92">
        <f>IF($Z$64&lt;S467+(S467*(('Atsipirkimo vertinimas'!$N$19)/12)),($Z$64*T467)+(Q467*U467),S467+(S467*(('Atsipirkimo vertinimas'!$N$19)/12)))</f>
        <v>0</v>
      </c>
      <c r="Q467" s="92">
        <f>IF(T467=0,0,S467*('Atsipirkimo vertinimas'!$N$19)/12)</f>
        <v>0</v>
      </c>
      <c r="R467" s="92">
        <f t="shared" si="52"/>
        <v>0</v>
      </c>
      <c r="S467" s="92">
        <f t="shared" si="53"/>
        <v>0</v>
      </c>
      <c r="T467">
        <f>IF(N467-'Atsipirkimo vertinimas'!$N$20&lt;0,0,1)</f>
        <v>1</v>
      </c>
      <c r="U467">
        <f>IF(N467-'Atsipirkimo vertinimas'!$N$20&gt;=0,0,1)</f>
        <v>0</v>
      </c>
      <c r="V467" s="92"/>
      <c r="W467" s="92"/>
      <c r="X467" s="88"/>
    </row>
    <row r="468" spans="3:24" x14ac:dyDescent="0.25">
      <c r="C468" s="88">
        <v>464</v>
      </c>
      <c r="D468" s="92">
        <f t="shared" si="48"/>
        <v>0.1412962962962887</v>
      </c>
      <c r="E468" s="92">
        <f>IF(H468=0,0,G468*('Atsipirkimo vertinimas'!$N$19)/12)</f>
        <v>-0.88925925925926685</v>
      </c>
      <c r="F468" s="92">
        <f>($G$4/('Atsipirkimo vertinimas'!$N$18*12-'Atsipirkimo vertinimas'!$N$20)*H468)</f>
        <v>0.97222222222222221</v>
      </c>
      <c r="G468" s="92">
        <f t="shared" si="51"/>
        <v>-217.77777777777962</v>
      </c>
      <c r="H468">
        <f>IF(C468-'Atsipirkimo vertinimas'!$N$20&lt;0,0,1)</f>
        <v>1</v>
      </c>
      <c r="I468" s="92"/>
      <c r="J468" s="92">
        <f t="shared" si="49"/>
        <v>0</v>
      </c>
      <c r="K468" s="92"/>
      <c r="L468" s="88"/>
      <c r="N468" s="88">
        <v>464</v>
      </c>
      <c r="O468" s="92">
        <f t="shared" si="50"/>
        <v>5.8333333333333355E-2</v>
      </c>
      <c r="P468" s="92">
        <f>IF($Z$64&lt;S468+(S468*(('Atsipirkimo vertinimas'!$N$19)/12)),($Z$64*T468)+(Q468*U468),S468+(S468*(('Atsipirkimo vertinimas'!$N$19)/12)))</f>
        <v>0</v>
      </c>
      <c r="Q468" s="92">
        <f>IF(T468=0,0,S468*('Atsipirkimo vertinimas'!$N$19)/12)</f>
        <v>0</v>
      </c>
      <c r="R468" s="92">
        <f t="shared" si="52"/>
        <v>0</v>
      </c>
      <c r="S468" s="92">
        <f t="shared" si="53"/>
        <v>0</v>
      </c>
      <c r="T468">
        <f>IF(N468-'Atsipirkimo vertinimas'!$N$20&lt;0,0,1)</f>
        <v>1</v>
      </c>
      <c r="U468">
        <f>IF(N468-'Atsipirkimo vertinimas'!$N$20&gt;=0,0,1)</f>
        <v>0</v>
      </c>
      <c r="V468" s="92"/>
      <c r="W468" s="92"/>
      <c r="X468" s="88"/>
    </row>
    <row r="469" spans="3:24" x14ac:dyDescent="0.25">
      <c r="C469" s="88">
        <v>465</v>
      </c>
      <c r="D469" s="92">
        <f t="shared" si="48"/>
        <v>0.13732638888888138</v>
      </c>
      <c r="E469" s="92">
        <f>IF(H469=0,0,G469*('Atsipirkimo vertinimas'!$N$19)/12)</f>
        <v>-0.89322916666667418</v>
      </c>
      <c r="F469" s="92">
        <f>($G$4/('Atsipirkimo vertinimas'!$N$18*12-'Atsipirkimo vertinimas'!$N$20)*H469)</f>
        <v>0.97222222222222221</v>
      </c>
      <c r="G469" s="92">
        <f t="shared" si="51"/>
        <v>-218.75000000000185</v>
      </c>
      <c r="H469">
        <f>IF(C469-'Atsipirkimo vertinimas'!$N$20&lt;0,0,1)</f>
        <v>1</v>
      </c>
      <c r="I469" s="92"/>
      <c r="J469" s="92">
        <f t="shared" si="49"/>
        <v>0</v>
      </c>
      <c r="K469" s="92"/>
      <c r="L469" s="88"/>
      <c r="N469" s="88">
        <v>465</v>
      </c>
      <c r="O469" s="92">
        <f t="shared" si="50"/>
        <v>5.8333333333333355E-2</v>
      </c>
      <c r="P469" s="92">
        <f>IF($Z$64&lt;S469+(S469*(('Atsipirkimo vertinimas'!$N$19)/12)),($Z$64*T469)+(Q469*U469),S469+(S469*(('Atsipirkimo vertinimas'!$N$19)/12)))</f>
        <v>0</v>
      </c>
      <c r="Q469" s="92">
        <f>IF(T469=0,0,S469*('Atsipirkimo vertinimas'!$N$19)/12)</f>
        <v>0</v>
      </c>
      <c r="R469" s="92">
        <f t="shared" si="52"/>
        <v>0</v>
      </c>
      <c r="S469" s="92">
        <f t="shared" si="53"/>
        <v>0</v>
      </c>
      <c r="T469">
        <f>IF(N469-'Atsipirkimo vertinimas'!$N$20&lt;0,0,1)</f>
        <v>1</v>
      </c>
      <c r="U469">
        <f>IF(N469-'Atsipirkimo vertinimas'!$N$20&gt;=0,0,1)</f>
        <v>0</v>
      </c>
      <c r="V469" s="92"/>
      <c r="W469" s="92"/>
      <c r="X469" s="88"/>
    </row>
    <row r="470" spans="3:24" x14ac:dyDescent="0.25">
      <c r="C470" s="88">
        <v>466</v>
      </c>
      <c r="D470" s="92">
        <f t="shared" si="48"/>
        <v>0.13335648148147394</v>
      </c>
      <c r="E470" s="92">
        <f>IF(H470=0,0,G470*('Atsipirkimo vertinimas'!$N$19)/12)</f>
        <v>-0.89719907407408162</v>
      </c>
      <c r="F470" s="92">
        <f>($G$4/('Atsipirkimo vertinimas'!$N$18*12-'Atsipirkimo vertinimas'!$N$20)*H470)</f>
        <v>0.97222222222222221</v>
      </c>
      <c r="G470" s="92">
        <f t="shared" si="51"/>
        <v>-219.72222222222408</v>
      </c>
      <c r="H470">
        <f>IF(C470-'Atsipirkimo vertinimas'!$N$20&lt;0,0,1)</f>
        <v>1</v>
      </c>
      <c r="I470" s="92"/>
      <c r="J470" s="92">
        <f t="shared" si="49"/>
        <v>0</v>
      </c>
      <c r="K470" s="92"/>
      <c r="L470" s="88"/>
      <c r="N470" s="88">
        <v>466</v>
      </c>
      <c r="O470" s="92">
        <f t="shared" si="50"/>
        <v>5.8333333333333355E-2</v>
      </c>
      <c r="P470" s="92">
        <f>IF($Z$64&lt;S470+(S470*(('Atsipirkimo vertinimas'!$N$19)/12)),($Z$64*T470)+(Q470*U470),S470+(S470*(('Atsipirkimo vertinimas'!$N$19)/12)))</f>
        <v>0</v>
      </c>
      <c r="Q470" s="92">
        <f>IF(T470=0,0,S470*('Atsipirkimo vertinimas'!$N$19)/12)</f>
        <v>0</v>
      </c>
      <c r="R470" s="92">
        <f t="shared" si="52"/>
        <v>0</v>
      </c>
      <c r="S470" s="92">
        <f t="shared" si="53"/>
        <v>0</v>
      </c>
      <c r="T470">
        <f>IF(N470-'Atsipirkimo vertinimas'!$N$20&lt;0,0,1)</f>
        <v>1</v>
      </c>
      <c r="U470">
        <f>IF(N470-'Atsipirkimo vertinimas'!$N$20&gt;=0,0,1)</f>
        <v>0</v>
      </c>
      <c r="V470" s="92"/>
      <c r="W470" s="92"/>
      <c r="X470" s="88"/>
    </row>
    <row r="471" spans="3:24" x14ac:dyDescent="0.25">
      <c r="C471" s="88">
        <v>467</v>
      </c>
      <c r="D471" s="92">
        <f t="shared" si="48"/>
        <v>0.1293865740740664</v>
      </c>
      <c r="E471" s="92">
        <f>IF(H471=0,0,G471*('Atsipirkimo vertinimas'!$N$19)/12)</f>
        <v>-0.90116898148148916</v>
      </c>
      <c r="F471" s="92">
        <f>($G$4/('Atsipirkimo vertinimas'!$N$18*12-'Atsipirkimo vertinimas'!$N$20)*H471)</f>
        <v>0.97222222222222221</v>
      </c>
      <c r="G471" s="92">
        <f t="shared" si="51"/>
        <v>-220.6944444444463</v>
      </c>
      <c r="H471">
        <f>IF(C471-'Atsipirkimo vertinimas'!$N$20&lt;0,0,1)</f>
        <v>1</v>
      </c>
      <c r="I471" s="92"/>
      <c r="J471" s="92">
        <f t="shared" si="49"/>
        <v>0</v>
      </c>
      <c r="K471" s="92"/>
      <c r="L471" s="91">
        <f>IF('Atsipirkimo vertinimas'!$N$18*12&gt;Grafikas!C471,SUM(D460:D471),0)</f>
        <v>0</v>
      </c>
      <c r="N471" s="88">
        <v>467</v>
      </c>
      <c r="O471" s="92">
        <f t="shared" si="50"/>
        <v>5.8333333333333355E-2</v>
      </c>
      <c r="P471" s="92">
        <f>IF($Z$64&lt;S471+(S471*(('Atsipirkimo vertinimas'!$N$19)/12)),($Z$64*T471)+(Q471*U471),S471+(S471*(('Atsipirkimo vertinimas'!$N$19)/12)))</f>
        <v>0</v>
      </c>
      <c r="Q471" s="92">
        <f>IF(T471=0,0,S471*('Atsipirkimo vertinimas'!$N$19)/12)</f>
        <v>0</v>
      </c>
      <c r="R471" s="92">
        <f t="shared" si="52"/>
        <v>0</v>
      </c>
      <c r="S471" s="92">
        <f t="shared" si="53"/>
        <v>0</v>
      </c>
      <c r="T471">
        <f>IF(N471-'Atsipirkimo vertinimas'!$N$20&lt;0,0,1)</f>
        <v>1</v>
      </c>
      <c r="U471">
        <f>IF(N471-'Atsipirkimo vertinimas'!$N$20&gt;=0,0,1)</f>
        <v>0</v>
      </c>
      <c r="V471" s="92"/>
      <c r="W471" s="92"/>
      <c r="X471" s="91">
        <f>IF('Atsipirkimo vertinimas'!$N$18*12&gt;Grafikas!C471,SUM(O460:O471),0)</f>
        <v>0</v>
      </c>
    </row>
    <row r="472" spans="3:24" x14ac:dyDescent="0.25">
      <c r="C472" s="88">
        <v>468</v>
      </c>
      <c r="D472" s="92">
        <f t="shared" si="48"/>
        <v>0.12541666666665896</v>
      </c>
      <c r="E472" s="92">
        <f>IF(H472=0,0,G472*('Atsipirkimo vertinimas'!$N$19)/12)</f>
        <v>-0.9051388888888966</v>
      </c>
      <c r="F472" s="92">
        <f>($G$4/('Atsipirkimo vertinimas'!$N$18*12-'Atsipirkimo vertinimas'!$N$20)*H472)</f>
        <v>0.97222222222222221</v>
      </c>
      <c r="G472" s="92">
        <f t="shared" si="51"/>
        <v>-221.66666666666853</v>
      </c>
      <c r="H472">
        <f>IF(C472-'Atsipirkimo vertinimas'!$N$20&lt;0,0,1)</f>
        <v>1</v>
      </c>
      <c r="I472" s="92"/>
      <c r="J472" s="92">
        <f t="shared" si="49"/>
        <v>0</v>
      </c>
      <c r="K472" s="92"/>
      <c r="L472" s="88"/>
      <c r="N472" s="88">
        <v>468</v>
      </c>
      <c r="O472" s="92">
        <f t="shared" si="50"/>
        <v>5.8333333333333355E-2</v>
      </c>
      <c r="P472" s="92">
        <f>IF($Z$64&lt;S472+(S472*(('Atsipirkimo vertinimas'!$N$19)/12)),($Z$64*T472)+(Q472*U472),S472+(S472*(('Atsipirkimo vertinimas'!$N$19)/12)))</f>
        <v>0</v>
      </c>
      <c r="Q472" s="92">
        <f>IF(T472=0,0,S472*('Atsipirkimo vertinimas'!$N$19)/12)</f>
        <v>0</v>
      </c>
      <c r="R472" s="92">
        <f t="shared" si="52"/>
        <v>0</v>
      </c>
      <c r="S472" s="92">
        <f t="shared" si="53"/>
        <v>0</v>
      </c>
      <c r="T472">
        <f>IF(N472-'Atsipirkimo vertinimas'!$N$20&lt;0,0,1)</f>
        <v>1</v>
      </c>
      <c r="U472">
        <f>IF(N472-'Atsipirkimo vertinimas'!$N$20&gt;=0,0,1)</f>
        <v>0</v>
      </c>
      <c r="V472" s="92"/>
      <c r="W472" s="92"/>
      <c r="X472" s="88"/>
    </row>
    <row r="473" spans="3:24" x14ac:dyDescent="0.25">
      <c r="C473" s="88">
        <v>469</v>
      </c>
      <c r="D473" s="92">
        <f t="shared" si="48"/>
        <v>0.12144675925925164</v>
      </c>
      <c r="E473" s="92">
        <f>IF(H473=0,0,G473*('Atsipirkimo vertinimas'!$N$19)/12)</f>
        <v>-0.90910879629630392</v>
      </c>
      <c r="F473" s="92">
        <f>($G$4/('Atsipirkimo vertinimas'!$N$18*12-'Atsipirkimo vertinimas'!$N$20)*H473)</f>
        <v>0.97222222222222221</v>
      </c>
      <c r="G473" s="92">
        <f t="shared" si="51"/>
        <v>-222.63888888889076</v>
      </c>
      <c r="H473">
        <f>IF(C473-'Atsipirkimo vertinimas'!$N$20&lt;0,0,1)</f>
        <v>1</v>
      </c>
      <c r="I473" s="92"/>
      <c r="J473" s="92">
        <f t="shared" si="49"/>
        <v>0</v>
      </c>
      <c r="K473" s="92"/>
      <c r="L473" s="88"/>
      <c r="N473" s="88">
        <v>469</v>
      </c>
      <c r="O473" s="92">
        <f t="shared" si="50"/>
        <v>5.8333333333333355E-2</v>
      </c>
      <c r="P473" s="92">
        <f>IF($Z$64&lt;S473+(S473*(('Atsipirkimo vertinimas'!$N$19)/12)),($Z$64*T473)+(Q473*U473),S473+(S473*(('Atsipirkimo vertinimas'!$N$19)/12)))</f>
        <v>0</v>
      </c>
      <c r="Q473" s="92">
        <f>IF(T473=0,0,S473*('Atsipirkimo vertinimas'!$N$19)/12)</f>
        <v>0</v>
      </c>
      <c r="R473" s="92">
        <f t="shared" si="52"/>
        <v>0</v>
      </c>
      <c r="S473" s="92">
        <f t="shared" si="53"/>
        <v>0</v>
      </c>
      <c r="T473">
        <f>IF(N473-'Atsipirkimo vertinimas'!$N$20&lt;0,0,1)</f>
        <v>1</v>
      </c>
      <c r="U473">
        <f>IF(N473-'Atsipirkimo vertinimas'!$N$20&gt;=0,0,1)</f>
        <v>0</v>
      </c>
      <c r="V473" s="92"/>
      <c r="W473" s="92"/>
      <c r="X473" s="88"/>
    </row>
    <row r="474" spans="3:24" x14ac:dyDescent="0.25">
      <c r="C474" s="88">
        <v>470</v>
      </c>
      <c r="D474" s="92">
        <f t="shared" si="48"/>
        <v>0.1174768518518442</v>
      </c>
      <c r="E474" s="92">
        <f>IF(H474=0,0,G474*('Atsipirkimo vertinimas'!$N$19)/12)</f>
        <v>-0.91307870370371136</v>
      </c>
      <c r="F474" s="92">
        <f>($G$4/('Atsipirkimo vertinimas'!$N$18*12-'Atsipirkimo vertinimas'!$N$20)*H474)</f>
        <v>0.97222222222222221</v>
      </c>
      <c r="G474" s="92">
        <f t="shared" si="51"/>
        <v>-223.61111111111299</v>
      </c>
      <c r="H474">
        <f>IF(C474-'Atsipirkimo vertinimas'!$N$20&lt;0,0,1)</f>
        <v>1</v>
      </c>
      <c r="I474" s="92"/>
      <c r="J474" s="92">
        <f t="shared" si="49"/>
        <v>0</v>
      </c>
      <c r="K474" s="92"/>
      <c r="L474" s="88"/>
      <c r="N474" s="88">
        <v>470</v>
      </c>
      <c r="O474" s="92">
        <f t="shared" si="50"/>
        <v>5.8333333333333355E-2</v>
      </c>
      <c r="P474" s="92">
        <f>IF($Z$64&lt;S474+(S474*(('Atsipirkimo vertinimas'!$N$19)/12)),($Z$64*T474)+(Q474*U474),S474+(S474*(('Atsipirkimo vertinimas'!$N$19)/12)))</f>
        <v>0</v>
      </c>
      <c r="Q474" s="92">
        <f>IF(T474=0,0,S474*('Atsipirkimo vertinimas'!$N$19)/12)</f>
        <v>0</v>
      </c>
      <c r="R474" s="92">
        <f t="shared" si="52"/>
        <v>0</v>
      </c>
      <c r="S474" s="92">
        <f t="shared" si="53"/>
        <v>0</v>
      </c>
      <c r="T474">
        <f>IF(N474-'Atsipirkimo vertinimas'!$N$20&lt;0,0,1)</f>
        <v>1</v>
      </c>
      <c r="U474">
        <f>IF(N474-'Atsipirkimo vertinimas'!$N$20&gt;=0,0,1)</f>
        <v>0</v>
      </c>
      <c r="V474" s="92"/>
      <c r="W474" s="92"/>
      <c r="X474" s="88"/>
    </row>
    <row r="475" spans="3:24" x14ac:dyDescent="0.25">
      <c r="C475" s="88">
        <v>471</v>
      </c>
      <c r="D475" s="92">
        <f t="shared" si="48"/>
        <v>0.11350694444443665</v>
      </c>
      <c r="E475" s="92">
        <f>IF(H475=0,0,G475*('Atsipirkimo vertinimas'!$N$19)/12)</f>
        <v>-0.91704861111111891</v>
      </c>
      <c r="F475" s="92">
        <f>($G$4/('Atsipirkimo vertinimas'!$N$18*12-'Atsipirkimo vertinimas'!$N$20)*H475)</f>
        <v>0.97222222222222221</v>
      </c>
      <c r="G475" s="92">
        <f t="shared" si="51"/>
        <v>-224.58333333333522</v>
      </c>
      <c r="H475">
        <f>IF(C475-'Atsipirkimo vertinimas'!$N$20&lt;0,0,1)</f>
        <v>1</v>
      </c>
      <c r="I475" s="92"/>
      <c r="J475" s="92">
        <f t="shared" si="49"/>
        <v>0</v>
      </c>
      <c r="K475" s="92"/>
      <c r="L475" s="88"/>
      <c r="N475" s="88">
        <v>471</v>
      </c>
      <c r="O475" s="92">
        <f t="shared" si="50"/>
        <v>5.8333333333333355E-2</v>
      </c>
      <c r="P475" s="92">
        <f>IF($Z$64&lt;S475+(S475*(('Atsipirkimo vertinimas'!$N$19)/12)),($Z$64*T475)+(Q475*U475),S475+(S475*(('Atsipirkimo vertinimas'!$N$19)/12)))</f>
        <v>0</v>
      </c>
      <c r="Q475" s="92">
        <f>IF(T475=0,0,S475*('Atsipirkimo vertinimas'!$N$19)/12)</f>
        <v>0</v>
      </c>
      <c r="R475" s="92">
        <f t="shared" si="52"/>
        <v>0</v>
      </c>
      <c r="S475" s="92">
        <f t="shared" si="53"/>
        <v>0</v>
      </c>
      <c r="T475">
        <f>IF(N475-'Atsipirkimo vertinimas'!$N$20&lt;0,0,1)</f>
        <v>1</v>
      </c>
      <c r="U475">
        <f>IF(N475-'Atsipirkimo vertinimas'!$N$20&gt;=0,0,1)</f>
        <v>0</v>
      </c>
      <c r="V475" s="92"/>
      <c r="W475" s="92"/>
      <c r="X475" s="88"/>
    </row>
    <row r="476" spans="3:24" x14ac:dyDescent="0.25">
      <c r="C476" s="88">
        <v>472</v>
      </c>
      <c r="D476" s="92">
        <f t="shared" si="48"/>
        <v>0.10953703703702922</v>
      </c>
      <c r="E476" s="92">
        <f>IF(H476=0,0,G476*('Atsipirkimo vertinimas'!$N$19)/12)</f>
        <v>-0.92101851851852634</v>
      </c>
      <c r="F476" s="92">
        <f>($G$4/('Atsipirkimo vertinimas'!$N$18*12-'Atsipirkimo vertinimas'!$N$20)*H476)</f>
        <v>0.97222222222222221</v>
      </c>
      <c r="G476" s="92">
        <f t="shared" si="51"/>
        <v>-225.55555555555745</v>
      </c>
      <c r="H476">
        <f>IF(C476-'Atsipirkimo vertinimas'!$N$20&lt;0,0,1)</f>
        <v>1</v>
      </c>
      <c r="I476" s="92"/>
      <c r="J476" s="92">
        <f t="shared" si="49"/>
        <v>0</v>
      </c>
      <c r="K476" s="92"/>
      <c r="L476" s="88"/>
      <c r="N476" s="88">
        <v>472</v>
      </c>
      <c r="O476" s="92">
        <f t="shared" si="50"/>
        <v>5.8333333333333355E-2</v>
      </c>
      <c r="P476" s="92">
        <f>IF($Z$64&lt;S476+(S476*(('Atsipirkimo vertinimas'!$N$19)/12)),($Z$64*T476)+(Q476*U476),S476+(S476*(('Atsipirkimo vertinimas'!$N$19)/12)))</f>
        <v>0</v>
      </c>
      <c r="Q476" s="92">
        <f>IF(T476=0,0,S476*('Atsipirkimo vertinimas'!$N$19)/12)</f>
        <v>0</v>
      </c>
      <c r="R476" s="92">
        <f t="shared" si="52"/>
        <v>0</v>
      </c>
      <c r="S476" s="92">
        <f t="shared" si="53"/>
        <v>0</v>
      </c>
      <c r="T476">
        <f>IF(N476-'Atsipirkimo vertinimas'!$N$20&lt;0,0,1)</f>
        <v>1</v>
      </c>
      <c r="U476">
        <f>IF(N476-'Atsipirkimo vertinimas'!$N$20&gt;=0,0,1)</f>
        <v>0</v>
      </c>
      <c r="V476" s="92"/>
      <c r="W476" s="92"/>
      <c r="X476" s="88"/>
    </row>
    <row r="477" spans="3:24" x14ac:dyDescent="0.25">
      <c r="C477" s="88">
        <v>473</v>
      </c>
      <c r="D477" s="92">
        <f t="shared" si="48"/>
        <v>0.10556712962962189</v>
      </c>
      <c r="E477" s="92">
        <f>IF(H477=0,0,G477*('Atsipirkimo vertinimas'!$N$19)/12)</f>
        <v>-0.92498842592593367</v>
      </c>
      <c r="F477" s="92">
        <f>($G$4/('Atsipirkimo vertinimas'!$N$18*12-'Atsipirkimo vertinimas'!$N$20)*H477)</f>
        <v>0.97222222222222221</v>
      </c>
      <c r="G477" s="92">
        <f t="shared" si="51"/>
        <v>-226.52777777777968</v>
      </c>
      <c r="H477">
        <f>IF(C477-'Atsipirkimo vertinimas'!$N$20&lt;0,0,1)</f>
        <v>1</v>
      </c>
      <c r="I477" s="92"/>
      <c r="J477" s="92">
        <f t="shared" si="49"/>
        <v>0</v>
      </c>
      <c r="K477" s="92"/>
      <c r="L477" s="88"/>
      <c r="N477" s="88">
        <v>473</v>
      </c>
      <c r="O477" s="92">
        <f t="shared" si="50"/>
        <v>5.8333333333333355E-2</v>
      </c>
      <c r="P477" s="92">
        <f>IF($Z$64&lt;S477+(S477*(('Atsipirkimo vertinimas'!$N$19)/12)),($Z$64*T477)+(Q477*U477),S477+(S477*(('Atsipirkimo vertinimas'!$N$19)/12)))</f>
        <v>0</v>
      </c>
      <c r="Q477" s="92">
        <f>IF(T477=0,0,S477*('Atsipirkimo vertinimas'!$N$19)/12)</f>
        <v>0</v>
      </c>
      <c r="R477" s="92">
        <f t="shared" si="52"/>
        <v>0</v>
      </c>
      <c r="S477" s="92">
        <f t="shared" si="53"/>
        <v>0</v>
      </c>
      <c r="T477">
        <f>IF(N477-'Atsipirkimo vertinimas'!$N$20&lt;0,0,1)</f>
        <v>1</v>
      </c>
      <c r="U477">
        <f>IF(N477-'Atsipirkimo vertinimas'!$N$20&gt;=0,0,1)</f>
        <v>0</v>
      </c>
      <c r="V477" s="92"/>
      <c r="W477" s="92"/>
      <c r="X477" s="88"/>
    </row>
    <row r="478" spans="3:24" x14ac:dyDescent="0.25">
      <c r="C478" s="88">
        <v>474</v>
      </c>
      <c r="D478" s="92">
        <f t="shared" si="48"/>
        <v>0.10159722222221446</v>
      </c>
      <c r="E478" s="92">
        <f>IF(H478=0,0,G478*('Atsipirkimo vertinimas'!$N$19)/12)</f>
        <v>-0.9289583333333411</v>
      </c>
      <c r="F478" s="92">
        <f>($G$4/('Atsipirkimo vertinimas'!$N$18*12-'Atsipirkimo vertinimas'!$N$20)*H478)</f>
        <v>0.97222222222222221</v>
      </c>
      <c r="G478" s="92">
        <f t="shared" si="51"/>
        <v>-227.5000000000019</v>
      </c>
      <c r="H478">
        <f>IF(C478-'Atsipirkimo vertinimas'!$N$20&lt;0,0,1)</f>
        <v>1</v>
      </c>
      <c r="I478" s="92"/>
      <c r="J478" s="92">
        <f t="shared" si="49"/>
        <v>0</v>
      </c>
      <c r="K478" s="92"/>
      <c r="L478" s="88"/>
      <c r="N478" s="88">
        <v>474</v>
      </c>
      <c r="O478" s="92">
        <f t="shared" si="50"/>
        <v>5.8333333333333355E-2</v>
      </c>
      <c r="P478" s="92">
        <f>IF($Z$64&lt;S478+(S478*(('Atsipirkimo vertinimas'!$N$19)/12)),($Z$64*T478)+(Q478*U478),S478+(S478*(('Atsipirkimo vertinimas'!$N$19)/12)))</f>
        <v>0</v>
      </c>
      <c r="Q478" s="92">
        <f>IF(T478=0,0,S478*('Atsipirkimo vertinimas'!$N$19)/12)</f>
        <v>0</v>
      </c>
      <c r="R478" s="92">
        <f t="shared" si="52"/>
        <v>0</v>
      </c>
      <c r="S478" s="92">
        <f t="shared" si="53"/>
        <v>0</v>
      </c>
      <c r="T478">
        <f>IF(N478-'Atsipirkimo vertinimas'!$N$20&lt;0,0,1)</f>
        <v>1</v>
      </c>
      <c r="U478">
        <f>IF(N478-'Atsipirkimo vertinimas'!$N$20&gt;=0,0,1)</f>
        <v>0</v>
      </c>
      <c r="V478" s="92"/>
      <c r="W478" s="92"/>
      <c r="X478" s="88"/>
    </row>
    <row r="479" spans="3:24" x14ac:dyDescent="0.25">
      <c r="C479" s="88">
        <v>475</v>
      </c>
      <c r="D479" s="92">
        <f t="shared" si="48"/>
        <v>9.7627314814806909E-2</v>
      </c>
      <c r="E479" s="92">
        <f>IF(H479=0,0,G479*('Atsipirkimo vertinimas'!$N$19)/12)</f>
        <v>-0.93292824074074865</v>
      </c>
      <c r="F479" s="92">
        <f>($G$4/('Atsipirkimo vertinimas'!$N$18*12-'Atsipirkimo vertinimas'!$N$20)*H479)</f>
        <v>0.97222222222222221</v>
      </c>
      <c r="G479" s="92">
        <f t="shared" si="51"/>
        <v>-228.47222222222413</v>
      </c>
      <c r="H479">
        <f>IF(C479-'Atsipirkimo vertinimas'!$N$20&lt;0,0,1)</f>
        <v>1</v>
      </c>
      <c r="I479" s="92"/>
      <c r="J479" s="92">
        <f t="shared" si="49"/>
        <v>0</v>
      </c>
      <c r="K479" s="92"/>
      <c r="L479" s="88"/>
      <c r="N479" s="88">
        <v>475</v>
      </c>
      <c r="O479" s="92">
        <f t="shared" si="50"/>
        <v>5.8333333333333355E-2</v>
      </c>
      <c r="P479" s="92">
        <f>IF($Z$64&lt;S479+(S479*(('Atsipirkimo vertinimas'!$N$19)/12)),($Z$64*T479)+(Q479*U479),S479+(S479*(('Atsipirkimo vertinimas'!$N$19)/12)))</f>
        <v>0</v>
      </c>
      <c r="Q479" s="92">
        <f>IF(T479=0,0,S479*('Atsipirkimo vertinimas'!$N$19)/12)</f>
        <v>0</v>
      </c>
      <c r="R479" s="92">
        <f t="shared" si="52"/>
        <v>0</v>
      </c>
      <c r="S479" s="92">
        <f t="shared" si="53"/>
        <v>0</v>
      </c>
      <c r="T479">
        <f>IF(N479-'Atsipirkimo vertinimas'!$N$20&lt;0,0,1)</f>
        <v>1</v>
      </c>
      <c r="U479">
        <f>IF(N479-'Atsipirkimo vertinimas'!$N$20&gt;=0,0,1)</f>
        <v>0</v>
      </c>
      <c r="V479" s="92"/>
      <c r="W479" s="92"/>
      <c r="X479" s="88"/>
    </row>
    <row r="480" spans="3:24" x14ac:dyDescent="0.25">
      <c r="C480" s="88">
        <v>476</v>
      </c>
      <c r="D480" s="92">
        <f t="shared" si="48"/>
        <v>9.3657407407399473E-2</v>
      </c>
      <c r="E480" s="92">
        <f>IF(H480=0,0,G480*('Atsipirkimo vertinimas'!$N$19)/12)</f>
        <v>-0.93689814814815608</v>
      </c>
      <c r="F480" s="92">
        <f>($G$4/('Atsipirkimo vertinimas'!$N$18*12-'Atsipirkimo vertinimas'!$N$20)*H480)</f>
        <v>0.97222222222222221</v>
      </c>
      <c r="G480" s="92">
        <f t="shared" si="51"/>
        <v>-229.44444444444636</v>
      </c>
      <c r="H480">
        <f>IF(C480-'Atsipirkimo vertinimas'!$N$20&lt;0,0,1)</f>
        <v>1</v>
      </c>
      <c r="I480" s="92"/>
      <c r="J480" s="92">
        <f t="shared" si="49"/>
        <v>0</v>
      </c>
      <c r="K480" s="92"/>
      <c r="L480" s="88"/>
      <c r="N480" s="88">
        <v>476</v>
      </c>
      <c r="O480" s="92">
        <f t="shared" si="50"/>
        <v>5.8333333333333355E-2</v>
      </c>
      <c r="P480" s="92">
        <f>IF($Z$64&lt;S480+(S480*(('Atsipirkimo vertinimas'!$N$19)/12)),($Z$64*T480)+(Q480*U480),S480+(S480*(('Atsipirkimo vertinimas'!$N$19)/12)))</f>
        <v>0</v>
      </c>
      <c r="Q480" s="92">
        <f>IF(T480=0,0,S480*('Atsipirkimo vertinimas'!$N$19)/12)</f>
        <v>0</v>
      </c>
      <c r="R480" s="92">
        <f t="shared" si="52"/>
        <v>0</v>
      </c>
      <c r="S480" s="92">
        <f t="shared" si="53"/>
        <v>0</v>
      </c>
      <c r="T480">
        <f>IF(N480-'Atsipirkimo vertinimas'!$N$20&lt;0,0,1)</f>
        <v>1</v>
      </c>
      <c r="U480">
        <f>IF(N480-'Atsipirkimo vertinimas'!$N$20&gt;=0,0,1)</f>
        <v>0</v>
      </c>
      <c r="V480" s="92"/>
      <c r="W480" s="92"/>
      <c r="X480" s="88"/>
    </row>
    <row r="481" spans="3:24" x14ac:dyDescent="0.25">
      <c r="C481" s="88">
        <v>477</v>
      </c>
      <c r="D481" s="92">
        <f t="shared" si="48"/>
        <v>8.9687499999992149E-2</v>
      </c>
      <c r="E481" s="92">
        <f>IF(H481=0,0,G481*('Atsipirkimo vertinimas'!$N$19)/12)</f>
        <v>-0.94086805555556341</v>
      </c>
      <c r="F481" s="92">
        <f>($G$4/('Atsipirkimo vertinimas'!$N$18*12-'Atsipirkimo vertinimas'!$N$20)*H481)</f>
        <v>0.97222222222222221</v>
      </c>
      <c r="G481" s="92">
        <f t="shared" si="51"/>
        <v>-230.41666666666859</v>
      </c>
      <c r="H481">
        <f>IF(C481-'Atsipirkimo vertinimas'!$N$20&lt;0,0,1)</f>
        <v>1</v>
      </c>
      <c r="I481" s="92"/>
      <c r="J481" s="92">
        <f t="shared" si="49"/>
        <v>0</v>
      </c>
      <c r="K481" s="92"/>
      <c r="L481" s="88"/>
      <c r="N481" s="88">
        <v>477</v>
      </c>
      <c r="O481" s="92">
        <f t="shared" si="50"/>
        <v>5.8333333333333355E-2</v>
      </c>
      <c r="P481" s="92">
        <f>IF($Z$64&lt;S481+(S481*(('Atsipirkimo vertinimas'!$N$19)/12)),($Z$64*T481)+(Q481*U481),S481+(S481*(('Atsipirkimo vertinimas'!$N$19)/12)))</f>
        <v>0</v>
      </c>
      <c r="Q481" s="92">
        <f>IF(T481=0,0,S481*('Atsipirkimo vertinimas'!$N$19)/12)</f>
        <v>0</v>
      </c>
      <c r="R481" s="92">
        <f t="shared" si="52"/>
        <v>0</v>
      </c>
      <c r="S481" s="92">
        <f t="shared" si="53"/>
        <v>0</v>
      </c>
      <c r="T481">
        <f>IF(N481-'Atsipirkimo vertinimas'!$N$20&lt;0,0,1)</f>
        <v>1</v>
      </c>
      <c r="U481">
        <f>IF(N481-'Atsipirkimo vertinimas'!$N$20&gt;=0,0,1)</f>
        <v>0</v>
      </c>
      <c r="V481" s="92"/>
      <c r="W481" s="92"/>
      <c r="X481" s="88"/>
    </row>
    <row r="482" spans="3:24" x14ac:dyDescent="0.25">
      <c r="C482" s="88">
        <v>478</v>
      </c>
      <c r="D482" s="92">
        <f t="shared" si="48"/>
        <v>8.5717592592584713E-2</v>
      </c>
      <c r="E482" s="92">
        <f>IF(H482=0,0,G482*('Atsipirkimo vertinimas'!$N$19)/12)</f>
        <v>-0.94483796296297085</v>
      </c>
      <c r="F482" s="92">
        <f>($G$4/('Atsipirkimo vertinimas'!$N$18*12-'Atsipirkimo vertinimas'!$N$20)*H482)</f>
        <v>0.97222222222222221</v>
      </c>
      <c r="G482" s="92">
        <f t="shared" si="51"/>
        <v>-231.38888888889082</v>
      </c>
      <c r="H482">
        <f>IF(C482-'Atsipirkimo vertinimas'!$N$20&lt;0,0,1)</f>
        <v>1</v>
      </c>
      <c r="I482" s="92"/>
      <c r="J482" s="92">
        <f t="shared" si="49"/>
        <v>0</v>
      </c>
      <c r="K482" s="92"/>
      <c r="L482" s="88"/>
      <c r="N482" s="88">
        <v>478</v>
      </c>
      <c r="O482" s="92">
        <f t="shared" si="50"/>
        <v>5.8333333333333355E-2</v>
      </c>
      <c r="P482" s="92">
        <f>IF($Z$64&lt;S482+(S482*(('Atsipirkimo vertinimas'!$N$19)/12)),($Z$64*T482)+(Q482*U482),S482+(S482*(('Atsipirkimo vertinimas'!$N$19)/12)))</f>
        <v>0</v>
      </c>
      <c r="Q482" s="92">
        <f>IF(T482=0,0,S482*('Atsipirkimo vertinimas'!$N$19)/12)</f>
        <v>0</v>
      </c>
      <c r="R482" s="92">
        <f t="shared" si="52"/>
        <v>0</v>
      </c>
      <c r="S482" s="92">
        <f t="shared" si="53"/>
        <v>0</v>
      </c>
      <c r="T482">
        <f>IF(N482-'Atsipirkimo vertinimas'!$N$20&lt;0,0,1)</f>
        <v>1</v>
      </c>
      <c r="U482">
        <f>IF(N482-'Atsipirkimo vertinimas'!$N$20&gt;=0,0,1)</f>
        <v>0</v>
      </c>
      <c r="V482" s="92"/>
      <c r="W482" s="92"/>
      <c r="X482" s="88"/>
    </row>
    <row r="483" spans="3:24" x14ac:dyDescent="0.25">
      <c r="C483" s="88">
        <v>479</v>
      </c>
      <c r="D483" s="92">
        <f t="shared" si="48"/>
        <v>8.1747685185177277E-2</v>
      </c>
      <c r="E483" s="92">
        <f>IF(H483=0,0,G483*('Atsipirkimo vertinimas'!$N$19)/12)</f>
        <v>-0.94880787037037828</v>
      </c>
      <c r="F483" s="92">
        <f>($G$4/('Atsipirkimo vertinimas'!$N$18*12-'Atsipirkimo vertinimas'!$N$20)*H483)</f>
        <v>0.97222222222222221</v>
      </c>
      <c r="G483" s="92">
        <f t="shared" si="51"/>
        <v>-232.36111111111305</v>
      </c>
      <c r="H483">
        <f>IF(C483-'Atsipirkimo vertinimas'!$N$20&lt;0,0,1)</f>
        <v>1</v>
      </c>
      <c r="I483" s="92"/>
      <c r="J483" s="92">
        <f t="shared" si="49"/>
        <v>0</v>
      </c>
      <c r="K483" s="92"/>
      <c r="L483" s="91">
        <f>IF('Atsipirkimo vertinimas'!$N$18*12&gt;Grafikas!C483,SUM(D472:D483),0)</f>
        <v>0</v>
      </c>
      <c r="N483" s="88">
        <v>479</v>
      </c>
      <c r="O483" s="92">
        <f t="shared" si="50"/>
        <v>5.8333333333333355E-2</v>
      </c>
      <c r="P483" s="92">
        <f>IF($Z$64&lt;S483+(S483*(('Atsipirkimo vertinimas'!$N$19)/12)),($Z$64*T483)+(Q483*U483),S483+(S483*(('Atsipirkimo vertinimas'!$N$19)/12)))</f>
        <v>0</v>
      </c>
      <c r="Q483" s="92">
        <f>IF(T483=0,0,S483*('Atsipirkimo vertinimas'!$N$19)/12)</f>
        <v>0</v>
      </c>
      <c r="R483" s="92">
        <f t="shared" si="52"/>
        <v>0</v>
      </c>
      <c r="S483" s="92">
        <f t="shared" si="53"/>
        <v>0</v>
      </c>
      <c r="T483">
        <f>IF(N483-'Atsipirkimo vertinimas'!$N$20&lt;0,0,1)</f>
        <v>1</v>
      </c>
      <c r="U483">
        <f>IF(N483-'Atsipirkimo vertinimas'!$N$20&gt;=0,0,1)</f>
        <v>0</v>
      </c>
      <c r="V483" s="92"/>
      <c r="W483" s="92"/>
      <c r="X483" s="91">
        <f>IF('Atsipirkimo vertinimas'!$N$18*12&gt;Grafikas!C483,SUM(O472:O483),0)</f>
        <v>0</v>
      </c>
    </row>
    <row r="484" spans="3:24" x14ac:dyDescent="0.25">
      <c r="C484" s="88">
        <v>480</v>
      </c>
      <c r="D484" s="92">
        <f t="shared" si="48"/>
        <v>7.777777777776973E-2</v>
      </c>
      <c r="E484" s="92">
        <f>IF(H484=0,0,G484*('Atsipirkimo vertinimas'!$N$19)/12)</f>
        <v>-0.95277777777778583</v>
      </c>
      <c r="F484" s="92">
        <f>($G$4/('Atsipirkimo vertinimas'!$N$18*12-'Atsipirkimo vertinimas'!$N$20)*H484)</f>
        <v>0.97222222222222221</v>
      </c>
      <c r="G484" s="92">
        <f t="shared" si="51"/>
        <v>-233.33333333333528</v>
      </c>
      <c r="H484">
        <f>IF(C484-'Atsipirkimo vertinimas'!$N$20&lt;0,0,1)</f>
        <v>1</v>
      </c>
      <c r="I484" s="92"/>
      <c r="J484" s="92">
        <f t="shared" si="49"/>
        <v>0</v>
      </c>
      <c r="K484" s="92"/>
      <c r="L484" s="88"/>
      <c r="N484" s="88">
        <v>480</v>
      </c>
      <c r="O484" s="92">
        <f t="shared" si="50"/>
        <v>5.8333333333333355E-2</v>
      </c>
      <c r="P484" s="92">
        <f>IF($Z$64&lt;S484+(S484*(('Atsipirkimo vertinimas'!$N$19)/12)),($Z$64*T484)+(Q484*U484),S484+(S484*(('Atsipirkimo vertinimas'!$N$19)/12)))</f>
        <v>0</v>
      </c>
      <c r="Q484" s="92">
        <f>IF(T484=0,0,S484*('Atsipirkimo vertinimas'!$N$19)/12)</f>
        <v>0</v>
      </c>
      <c r="R484" s="92">
        <f t="shared" si="52"/>
        <v>0</v>
      </c>
      <c r="S484" s="92">
        <f t="shared" si="53"/>
        <v>0</v>
      </c>
      <c r="T484">
        <f>IF(N484-'Atsipirkimo vertinimas'!$N$20&lt;0,0,1)</f>
        <v>1</v>
      </c>
      <c r="U484">
        <f>IF(N484-'Atsipirkimo vertinimas'!$N$20&gt;=0,0,1)</f>
        <v>0</v>
      </c>
      <c r="V484" s="92"/>
      <c r="W484" s="92"/>
      <c r="X484" s="88"/>
    </row>
    <row r="485" spans="3:24" x14ac:dyDescent="0.25">
      <c r="C485" s="88">
        <v>481</v>
      </c>
      <c r="D485" s="92">
        <f t="shared" si="48"/>
        <v>7.3807870370362405E-2</v>
      </c>
      <c r="E485" s="92">
        <f>IF(H485=0,0,G485*('Atsipirkimo vertinimas'!$N$19)/12)</f>
        <v>-0.95674768518519315</v>
      </c>
      <c r="F485" s="92">
        <f>($G$4/('Atsipirkimo vertinimas'!$N$18*12-'Atsipirkimo vertinimas'!$N$20)*H485)</f>
        <v>0.97222222222222221</v>
      </c>
      <c r="G485" s="92">
        <f t="shared" si="51"/>
        <v>-234.3055555555575</v>
      </c>
      <c r="H485">
        <f>IF(C485-'Atsipirkimo vertinimas'!$N$20&lt;0,0,1)</f>
        <v>1</v>
      </c>
      <c r="I485" s="92"/>
      <c r="J485" s="92">
        <f t="shared" si="49"/>
        <v>0</v>
      </c>
      <c r="K485" s="92"/>
      <c r="L485" s="88"/>
      <c r="N485" s="88">
        <v>481</v>
      </c>
      <c r="O485" s="92">
        <f t="shared" si="50"/>
        <v>5.8333333333333355E-2</v>
      </c>
      <c r="P485" s="92">
        <f>IF($Z$64&lt;S485+(S485*(('Atsipirkimo vertinimas'!$N$19)/12)),($Z$64*T485)+(Q485*U485),S485+(S485*(('Atsipirkimo vertinimas'!$N$19)/12)))</f>
        <v>0</v>
      </c>
      <c r="Q485" s="92">
        <f>IF(T485=0,0,S485*('Atsipirkimo vertinimas'!$N$19)/12)</f>
        <v>0</v>
      </c>
      <c r="R485" s="92">
        <f t="shared" si="52"/>
        <v>0</v>
      </c>
      <c r="S485" s="92">
        <f t="shared" si="53"/>
        <v>0</v>
      </c>
      <c r="T485">
        <f>IF(N485-'Atsipirkimo vertinimas'!$N$20&lt;0,0,1)</f>
        <v>1</v>
      </c>
      <c r="U485">
        <f>IF(N485-'Atsipirkimo vertinimas'!$N$20&gt;=0,0,1)</f>
        <v>0</v>
      </c>
      <c r="V485" s="92"/>
      <c r="W485" s="92"/>
      <c r="X485" s="88"/>
    </row>
    <row r="486" spans="3:24" x14ac:dyDescent="0.25">
      <c r="C486" s="88">
        <v>482</v>
      </c>
      <c r="D486" s="92">
        <f t="shared" si="48"/>
        <v>6.9837962962954969E-2</v>
      </c>
      <c r="E486" s="92">
        <f>IF(H486=0,0,G486*('Atsipirkimo vertinimas'!$N$19)/12)</f>
        <v>-0.96071759259260059</v>
      </c>
      <c r="F486" s="92">
        <f>($G$4/('Atsipirkimo vertinimas'!$N$18*12-'Atsipirkimo vertinimas'!$N$20)*H486)</f>
        <v>0.97222222222222221</v>
      </c>
      <c r="G486" s="92">
        <f t="shared" si="51"/>
        <v>-235.27777777777973</v>
      </c>
      <c r="H486">
        <f>IF(C486-'Atsipirkimo vertinimas'!$N$20&lt;0,0,1)</f>
        <v>1</v>
      </c>
      <c r="I486" s="92"/>
      <c r="J486" s="92">
        <f t="shared" si="49"/>
        <v>0</v>
      </c>
      <c r="K486" s="92"/>
      <c r="L486" s="88"/>
      <c r="N486" s="88">
        <v>482</v>
      </c>
      <c r="O486" s="92">
        <f t="shared" si="50"/>
        <v>5.8333333333333355E-2</v>
      </c>
      <c r="P486" s="92">
        <f>IF($Z$64&lt;S486+(S486*(('Atsipirkimo vertinimas'!$N$19)/12)),($Z$64*T486)+(Q486*U486),S486+(S486*(('Atsipirkimo vertinimas'!$N$19)/12)))</f>
        <v>0</v>
      </c>
      <c r="Q486" s="92">
        <f>IF(T486=0,0,S486*('Atsipirkimo vertinimas'!$N$19)/12)</f>
        <v>0</v>
      </c>
      <c r="R486" s="92">
        <f t="shared" si="52"/>
        <v>0</v>
      </c>
      <c r="S486" s="92">
        <f t="shared" si="53"/>
        <v>0</v>
      </c>
      <c r="T486">
        <f>IF(N486-'Atsipirkimo vertinimas'!$N$20&lt;0,0,1)</f>
        <v>1</v>
      </c>
      <c r="U486">
        <f>IF(N486-'Atsipirkimo vertinimas'!$N$20&gt;=0,0,1)</f>
        <v>0</v>
      </c>
      <c r="V486" s="92"/>
      <c r="W486" s="92"/>
      <c r="X486" s="88"/>
    </row>
    <row r="487" spans="3:24" x14ac:dyDescent="0.25">
      <c r="C487" s="88">
        <v>483</v>
      </c>
      <c r="D487" s="92">
        <f t="shared" si="48"/>
        <v>6.5868055555547533E-2</v>
      </c>
      <c r="E487" s="92">
        <f>IF(H487=0,0,G487*('Atsipirkimo vertinimas'!$N$19)/12)</f>
        <v>-0.96468750000000802</v>
      </c>
      <c r="F487" s="92">
        <f>($G$4/('Atsipirkimo vertinimas'!$N$18*12-'Atsipirkimo vertinimas'!$N$20)*H487)</f>
        <v>0.97222222222222221</v>
      </c>
      <c r="G487" s="92">
        <f t="shared" si="51"/>
        <v>-236.25000000000196</v>
      </c>
      <c r="H487">
        <f>IF(C487-'Atsipirkimo vertinimas'!$N$20&lt;0,0,1)</f>
        <v>1</v>
      </c>
      <c r="I487" s="92"/>
      <c r="J487" s="92">
        <f t="shared" si="49"/>
        <v>0</v>
      </c>
      <c r="K487" s="92"/>
      <c r="L487" s="88"/>
      <c r="N487" s="88">
        <v>483</v>
      </c>
      <c r="O487" s="92">
        <f t="shared" si="50"/>
        <v>5.8333333333333355E-2</v>
      </c>
      <c r="P487" s="92">
        <f>IF($Z$64&lt;S487+(S487*(('Atsipirkimo vertinimas'!$N$19)/12)),($Z$64*T487)+(Q487*U487),S487+(S487*(('Atsipirkimo vertinimas'!$N$19)/12)))</f>
        <v>0</v>
      </c>
      <c r="Q487" s="92">
        <f>IF(T487=0,0,S487*('Atsipirkimo vertinimas'!$N$19)/12)</f>
        <v>0</v>
      </c>
      <c r="R487" s="92">
        <f t="shared" si="52"/>
        <v>0</v>
      </c>
      <c r="S487" s="92">
        <f t="shared" si="53"/>
        <v>0</v>
      </c>
      <c r="T487">
        <f>IF(N487-'Atsipirkimo vertinimas'!$N$20&lt;0,0,1)</f>
        <v>1</v>
      </c>
      <c r="U487">
        <f>IF(N487-'Atsipirkimo vertinimas'!$N$20&gt;=0,0,1)</f>
        <v>0</v>
      </c>
      <c r="V487" s="92"/>
      <c r="W487" s="92"/>
      <c r="X487" s="88"/>
    </row>
    <row r="488" spans="3:24" x14ac:dyDescent="0.25">
      <c r="C488" s="88">
        <v>484</v>
      </c>
      <c r="D488" s="92">
        <f t="shared" si="48"/>
        <v>6.1898148148139993E-2</v>
      </c>
      <c r="E488" s="92">
        <f>IF(H488=0,0,G488*('Atsipirkimo vertinimas'!$N$19)/12)</f>
        <v>-0.96865740740741557</v>
      </c>
      <c r="F488" s="92">
        <f>($G$4/('Atsipirkimo vertinimas'!$N$18*12-'Atsipirkimo vertinimas'!$N$20)*H488)</f>
        <v>0.97222222222222221</v>
      </c>
      <c r="G488" s="92">
        <f t="shared" si="51"/>
        <v>-237.22222222222419</v>
      </c>
      <c r="H488">
        <f>IF(C488-'Atsipirkimo vertinimas'!$N$20&lt;0,0,1)</f>
        <v>1</v>
      </c>
      <c r="I488" s="92"/>
      <c r="J488" s="92">
        <f t="shared" si="49"/>
        <v>0</v>
      </c>
      <c r="K488" s="92"/>
      <c r="L488" s="88"/>
      <c r="N488" s="88">
        <v>484</v>
      </c>
      <c r="O488" s="92">
        <f t="shared" si="50"/>
        <v>5.8333333333333355E-2</v>
      </c>
      <c r="P488" s="92">
        <f>IF($Z$64&lt;S488+(S488*(('Atsipirkimo vertinimas'!$N$19)/12)),($Z$64*T488)+(Q488*U488),S488+(S488*(('Atsipirkimo vertinimas'!$N$19)/12)))</f>
        <v>0</v>
      </c>
      <c r="Q488" s="92">
        <f>IF(T488=0,0,S488*('Atsipirkimo vertinimas'!$N$19)/12)</f>
        <v>0</v>
      </c>
      <c r="R488" s="92">
        <f t="shared" si="52"/>
        <v>0</v>
      </c>
      <c r="S488" s="92">
        <f t="shared" si="53"/>
        <v>0</v>
      </c>
      <c r="T488">
        <f>IF(N488-'Atsipirkimo vertinimas'!$N$20&lt;0,0,1)</f>
        <v>1</v>
      </c>
      <c r="U488">
        <f>IF(N488-'Atsipirkimo vertinimas'!$N$20&gt;=0,0,1)</f>
        <v>0</v>
      </c>
      <c r="V488" s="92"/>
      <c r="W488" s="92"/>
      <c r="X488" s="88"/>
    </row>
    <row r="489" spans="3:24" x14ac:dyDescent="0.25">
      <c r="C489" s="88">
        <v>485</v>
      </c>
      <c r="D489" s="92">
        <f t="shared" si="48"/>
        <v>5.7928240740732669E-2</v>
      </c>
      <c r="E489" s="92">
        <f>IF(H489=0,0,G489*('Atsipirkimo vertinimas'!$N$19)/12)</f>
        <v>-0.9726273148148229</v>
      </c>
      <c r="F489" s="92">
        <f>($G$4/('Atsipirkimo vertinimas'!$N$18*12-'Atsipirkimo vertinimas'!$N$20)*H489)</f>
        <v>0.97222222222222221</v>
      </c>
      <c r="G489" s="92">
        <f t="shared" si="51"/>
        <v>-238.19444444444642</v>
      </c>
      <c r="H489">
        <f>IF(C489-'Atsipirkimo vertinimas'!$N$20&lt;0,0,1)</f>
        <v>1</v>
      </c>
      <c r="I489" s="92"/>
      <c r="J489" s="92">
        <f t="shared" si="49"/>
        <v>0</v>
      </c>
      <c r="K489" s="92"/>
      <c r="L489" s="88"/>
      <c r="N489" s="88">
        <v>485</v>
      </c>
      <c r="O489" s="92">
        <f t="shared" si="50"/>
        <v>5.8333333333333355E-2</v>
      </c>
      <c r="P489" s="92">
        <f>IF($Z$64&lt;S489+(S489*(('Atsipirkimo vertinimas'!$N$19)/12)),($Z$64*T489)+(Q489*U489),S489+(S489*(('Atsipirkimo vertinimas'!$N$19)/12)))</f>
        <v>0</v>
      </c>
      <c r="Q489" s="92">
        <f>IF(T489=0,0,S489*('Atsipirkimo vertinimas'!$N$19)/12)</f>
        <v>0</v>
      </c>
      <c r="R489" s="92">
        <f t="shared" si="52"/>
        <v>0</v>
      </c>
      <c r="S489" s="92">
        <f t="shared" si="53"/>
        <v>0</v>
      </c>
      <c r="T489">
        <f>IF(N489-'Atsipirkimo vertinimas'!$N$20&lt;0,0,1)</f>
        <v>1</v>
      </c>
      <c r="U489">
        <f>IF(N489-'Atsipirkimo vertinimas'!$N$20&gt;=0,0,1)</f>
        <v>0</v>
      </c>
      <c r="V489" s="92"/>
      <c r="W489" s="92"/>
      <c r="X489" s="88"/>
    </row>
    <row r="490" spans="3:24" x14ac:dyDescent="0.25">
      <c r="C490" s="88">
        <v>486</v>
      </c>
      <c r="D490" s="92">
        <f t="shared" si="48"/>
        <v>5.3958333333325233E-2</v>
      </c>
      <c r="E490" s="92">
        <f>IF(H490=0,0,G490*('Atsipirkimo vertinimas'!$N$19)/12)</f>
        <v>-0.97659722222223033</v>
      </c>
      <c r="F490" s="92">
        <f>($G$4/('Atsipirkimo vertinimas'!$N$18*12-'Atsipirkimo vertinimas'!$N$20)*H490)</f>
        <v>0.97222222222222221</v>
      </c>
      <c r="G490" s="92">
        <f t="shared" si="51"/>
        <v>-239.16666666666865</v>
      </c>
      <c r="H490">
        <f>IF(C490-'Atsipirkimo vertinimas'!$N$20&lt;0,0,1)</f>
        <v>1</v>
      </c>
      <c r="I490" s="92"/>
      <c r="J490" s="92">
        <f t="shared" si="49"/>
        <v>0</v>
      </c>
      <c r="K490" s="92"/>
      <c r="L490" s="88"/>
      <c r="N490" s="88">
        <v>486</v>
      </c>
      <c r="O490" s="92">
        <f t="shared" si="50"/>
        <v>5.8333333333333355E-2</v>
      </c>
      <c r="P490" s="92">
        <f>IF($Z$64&lt;S490+(S490*(('Atsipirkimo vertinimas'!$N$19)/12)),($Z$64*T490)+(Q490*U490),S490+(S490*(('Atsipirkimo vertinimas'!$N$19)/12)))</f>
        <v>0</v>
      </c>
      <c r="Q490" s="92">
        <f>IF(T490=0,0,S490*('Atsipirkimo vertinimas'!$N$19)/12)</f>
        <v>0</v>
      </c>
      <c r="R490" s="92">
        <f t="shared" si="52"/>
        <v>0</v>
      </c>
      <c r="S490" s="92">
        <f t="shared" si="53"/>
        <v>0</v>
      </c>
      <c r="T490">
        <f>IF(N490-'Atsipirkimo vertinimas'!$N$20&lt;0,0,1)</f>
        <v>1</v>
      </c>
      <c r="U490">
        <f>IF(N490-'Atsipirkimo vertinimas'!$N$20&gt;=0,0,1)</f>
        <v>0</v>
      </c>
      <c r="V490" s="92"/>
      <c r="W490" s="92"/>
      <c r="X490" s="88"/>
    </row>
    <row r="491" spans="3:24" x14ac:dyDescent="0.25">
      <c r="C491" s="88">
        <v>487</v>
      </c>
      <c r="D491" s="92">
        <f t="shared" si="48"/>
        <v>4.9988425925917797E-2</v>
      </c>
      <c r="E491" s="92">
        <f>IF(H491=0,0,G491*('Atsipirkimo vertinimas'!$N$19)/12)</f>
        <v>-0.98056712962963777</v>
      </c>
      <c r="F491" s="92">
        <f>($G$4/('Atsipirkimo vertinimas'!$N$18*12-'Atsipirkimo vertinimas'!$N$20)*H491)</f>
        <v>0.97222222222222221</v>
      </c>
      <c r="G491" s="92">
        <f t="shared" si="51"/>
        <v>-240.13888888889088</v>
      </c>
      <c r="H491">
        <f>IF(C491-'Atsipirkimo vertinimas'!$N$20&lt;0,0,1)</f>
        <v>1</v>
      </c>
      <c r="I491" s="92"/>
      <c r="J491" s="92">
        <f t="shared" si="49"/>
        <v>0</v>
      </c>
      <c r="K491" s="92"/>
      <c r="L491" s="88"/>
      <c r="N491" s="88">
        <v>487</v>
      </c>
      <c r="O491" s="92">
        <f t="shared" si="50"/>
        <v>5.8333333333333355E-2</v>
      </c>
      <c r="P491" s="92">
        <f>IF($Z$64&lt;S491+(S491*(('Atsipirkimo vertinimas'!$N$19)/12)),($Z$64*T491)+(Q491*U491),S491+(S491*(('Atsipirkimo vertinimas'!$N$19)/12)))</f>
        <v>0</v>
      </c>
      <c r="Q491" s="92">
        <f>IF(T491=0,0,S491*('Atsipirkimo vertinimas'!$N$19)/12)</f>
        <v>0</v>
      </c>
      <c r="R491" s="92">
        <f t="shared" si="52"/>
        <v>0</v>
      </c>
      <c r="S491" s="92">
        <f t="shared" si="53"/>
        <v>0</v>
      </c>
      <c r="T491">
        <f>IF(N491-'Atsipirkimo vertinimas'!$N$20&lt;0,0,1)</f>
        <v>1</v>
      </c>
      <c r="U491">
        <f>IF(N491-'Atsipirkimo vertinimas'!$N$20&gt;=0,0,1)</f>
        <v>0</v>
      </c>
      <c r="V491" s="92"/>
      <c r="W491" s="92"/>
      <c r="X491" s="88"/>
    </row>
    <row r="492" spans="3:24" x14ac:dyDescent="0.25">
      <c r="C492" s="88">
        <v>488</v>
      </c>
      <c r="D492" s="92">
        <f t="shared" si="48"/>
        <v>4.601851851851025E-2</v>
      </c>
      <c r="E492" s="92">
        <f>IF(H492=0,0,G492*('Atsipirkimo vertinimas'!$N$19)/12)</f>
        <v>-0.98453703703704532</v>
      </c>
      <c r="F492" s="92">
        <f>($G$4/('Atsipirkimo vertinimas'!$N$18*12-'Atsipirkimo vertinimas'!$N$20)*H492)</f>
        <v>0.97222222222222221</v>
      </c>
      <c r="G492" s="92">
        <f t="shared" si="51"/>
        <v>-241.1111111111131</v>
      </c>
      <c r="H492">
        <f>IF(C492-'Atsipirkimo vertinimas'!$N$20&lt;0,0,1)</f>
        <v>1</v>
      </c>
      <c r="I492" s="92"/>
      <c r="J492" s="92">
        <f t="shared" si="49"/>
        <v>0</v>
      </c>
      <c r="K492" s="92"/>
      <c r="L492" s="88"/>
      <c r="N492" s="88">
        <v>488</v>
      </c>
      <c r="O492" s="92">
        <f t="shared" si="50"/>
        <v>5.8333333333333355E-2</v>
      </c>
      <c r="P492" s="92">
        <f>IF($Z$64&lt;S492+(S492*(('Atsipirkimo vertinimas'!$N$19)/12)),($Z$64*T492)+(Q492*U492),S492+(S492*(('Atsipirkimo vertinimas'!$N$19)/12)))</f>
        <v>0</v>
      </c>
      <c r="Q492" s="92">
        <f>IF(T492=0,0,S492*('Atsipirkimo vertinimas'!$N$19)/12)</f>
        <v>0</v>
      </c>
      <c r="R492" s="92">
        <f t="shared" si="52"/>
        <v>0</v>
      </c>
      <c r="S492" s="92">
        <f t="shared" si="53"/>
        <v>0</v>
      </c>
      <c r="T492">
        <f>IF(N492-'Atsipirkimo vertinimas'!$N$20&lt;0,0,1)</f>
        <v>1</v>
      </c>
      <c r="U492">
        <f>IF(N492-'Atsipirkimo vertinimas'!$N$20&gt;=0,0,1)</f>
        <v>0</v>
      </c>
      <c r="V492" s="92"/>
      <c r="W492" s="92"/>
      <c r="X492" s="88"/>
    </row>
    <row r="493" spans="3:24" x14ac:dyDescent="0.25">
      <c r="C493" s="88">
        <v>489</v>
      </c>
      <c r="D493" s="92">
        <f t="shared" si="48"/>
        <v>4.2048611111102925E-2</v>
      </c>
      <c r="E493" s="92">
        <f>IF(H493=0,0,G493*('Atsipirkimo vertinimas'!$N$19)/12)</f>
        <v>-0.98850694444445264</v>
      </c>
      <c r="F493" s="92">
        <f>($G$4/('Atsipirkimo vertinimas'!$N$18*12-'Atsipirkimo vertinimas'!$N$20)*H493)</f>
        <v>0.97222222222222221</v>
      </c>
      <c r="G493" s="92">
        <f t="shared" si="51"/>
        <v>-242.08333333333533</v>
      </c>
      <c r="H493">
        <f>IF(C493-'Atsipirkimo vertinimas'!$N$20&lt;0,0,1)</f>
        <v>1</v>
      </c>
      <c r="I493" s="92"/>
      <c r="J493" s="92">
        <f t="shared" si="49"/>
        <v>0</v>
      </c>
      <c r="K493" s="92"/>
      <c r="L493" s="88"/>
      <c r="N493" s="88">
        <v>489</v>
      </c>
      <c r="O493" s="92">
        <f t="shared" si="50"/>
        <v>5.8333333333333355E-2</v>
      </c>
      <c r="P493" s="92">
        <f>IF($Z$64&lt;S493+(S493*(('Atsipirkimo vertinimas'!$N$19)/12)),($Z$64*T493)+(Q493*U493),S493+(S493*(('Atsipirkimo vertinimas'!$N$19)/12)))</f>
        <v>0</v>
      </c>
      <c r="Q493" s="92">
        <f>IF(T493=0,0,S493*('Atsipirkimo vertinimas'!$N$19)/12)</f>
        <v>0</v>
      </c>
      <c r="R493" s="92">
        <f t="shared" si="52"/>
        <v>0</v>
      </c>
      <c r="S493" s="92">
        <f t="shared" si="53"/>
        <v>0</v>
      </c>
      <c r="T493">
        <f>IF(N493-'Atsipirkimo vertinimas'!$N$20&lt;0,0,1)</f>
        <v>1</v>
      </c>
      <c r="U493">
        <f>IF(N493-'Atsipirkimo vertinimas'!$N$20&gt;=0,0,1)</f>
        <v>0</v>
      </c>
      <c r="V493" s="92"/>
      <c r="W493" s="92"/>
      <c r="X493" s="88"/>
    </row>
    <row r="494" spans="3:24" x14ac:dyDescent="0.25">
      <c r="C494" s="88">
        <v>490</v>
      </c>
      <c r="D494" s="92">
        <f t="shared" si="48"/>
        <v>3.8078703703695489E-2</v>
      </c>
      <c r="E494" s="92">
        <f>IF(H494=0,0,G494*('Atsipirkimo vertinimas'!$N$19)/12)</f>
        <v>-0.99247685185186008</v>
      </c>
      <c r="F494" s="92">
        <f>($G$4/('Atsipirkimo vertinimas'!$N$18*12-'Atsipirkimo vertinimas'!$N$20)*H494)</f>
        <v>0.97222222222222221</v>
      </c>
      <c r="G494" s="92">
        <f t="shared" si="51"/>
        <v>-243.05555555555756</v>
      </c>
      <c r="H494">
        <f>IF(C494-'Atsipirkimo vertinimas'!$N$20&lt;0,0,1)</f>
        <v>1</v>
      </c>
      <c r="I494" s="92"/>
      <c r="J494" s="92">
        <f t="shared" si="49"/>
        <v>0</v>
      </c>
      <c r="K494" s="92"/>
      <c r="L494" s="88"/>
      <c r="N494" s="88">
        <v>490</v>
      </c>
      <c r="O494" s="92">
        <f t="shared" si="50"/>
        <v>5.8333333333333355E-2</v>
      </c>
      <c r="P494" s="92">
        <f>IF($Z$64&lt;S494+(S494*(('Atsipirkimo vertinimas'!$N$19)/12)),($Z$64*T494)+(Q494*U494),S494+(S494*(('Atsipirkimo vertinimas'!$N$19)/12)))</f>
        <v>0</v>
      </c>
      <c r="Q494" s="92">
        <f>IF(T494=0,0,S494*('Atsipirkimo vertinimas'!$N$19)/12)</f>
        <v>0</v>
      </c>
      <c r="R494" s="92">
        <f t="shared" si="52"/>
        <v>0</v>
      </c>
      <c r="S494" s="92">
        <f t="shared" si="53"/>
        <v>0</v>
      </c>
      <c r="T494">
        <f>IF(N494-'Atsipirkimo vertinimas'!$N$20&lt;0,0,1)</f>
        <v>1</v>
      </c>
      <c r="U494">
        <f>IF(N494-'Atsipirkimo vertinimas'!$N$20&gt;=0,0,1)</f>
        <v>0</v>
      </c>
      <c r="V494" s="92"/>
      <c r="W494" s="92"/>
      <c r="X494" s="88"/>
    </row>
    <row r="495" spans="3:24" x14ac:dyDescent="0.25">
      <c r="C495" s="88">
        <v>491</v>
      </c>
      <c r="D495" s="92">
        <f t="shared" si="48"/>
        <v>3.4108796296288053E-2</v>
      </c>
      <c r="E495" s="92">
        <f>IF(H495=0,0,G495*('Atsipirkimo vertinimas'!$N$19)/12)</f>
        <v>-0.99644675925926751</v>
      </c>
      <c r="F495" s="92">
        <f>($G$4/('Atsipirkimo vertinimas'!$N$18*12-'Atsipirkimo vertinimas'!$N$20)*H495)</f>
        <v>0.97222222222222221</v>
      </c>
      <c r="G495" s="92">
        <f t="shared" si="51"/>
        <v>-244.02777777777979</v>
      </c>
      <c r="H495">
        <f>IF(C495-'Atsipirkimo vertinimas'!$N$20&lt;0,0,1)</f>
        <v>1</v>
      </c>
      <c r="I495" s="92"/>
      <c r="J495" s="92">
        <f t="shared" si="49"/>
        <v>0</v>
      </c>
      <c r="K495" s="92"/>
      <c r="L495" s="91">
        <f>IF('Atsipirkimo vertinimas'!$N$18*12&gt;Grafikas!C495,SUM(D484:D495),0)</f>
        <v>0</v>
      </c>
      <c r="N495" s="88">
        <v>491</v>
      </c>
      <c r="O495" s="92">
        <f t="shared" si="50"/>
        <v>5.8333333333333355E-2</v>
      </c>
      <c r="P495" s="92">
        <f>IF($Z$64&lt;S495+(S495*(('Atsipirkimo vertinimas'!$N$19)/12)),($Z$64*T495)+(Q495*U495),S495+(S495*(('Atsipirkimo vertinimas'!$N$19)/12)))</f>
        <v>0</v>
      </c>
      <c r="Q495" s="92">
        <f>IF(T495=0,0,S495*('Atsipirkimo vertinimas'!$N$19)/12)</f>
        <v>0</v>
      </c>
      <c r="R495" s="92">
        <f t="shared" si="52"/>
        <v>0</v>
      </c>
      <c r="S495" s="92">
        <f t="shared" si="53"/>
        <v>0</v>
      </c>
      <c r="T495">
        <f>IF(N495-'Atsipirkimo vertinimas'!$N$20&lt;0,0,1)</f>
        <v>1</v>
      </c>
      <c r="U495">
        <f>IF(N495-'Atsipirkimo vertinimas'!$N$20&gt;=0,0,1)</f>
        <v>0</v>
      </c>
      <c r="V495" s="92"/>
      <c r="W495" s="92"/>
      <c r="X495" s="91">
        <f>IF('Atsipirkimo vertinimas'!$N$18*12&gt;Grafikas!C495,SUM(O484:O495),0)</f>
        <v>0</v>
      </c>
    </row>
    <row r="496" spans="3:24" x14ac:dyDescent="0.25">
      <c r="C496" s="88">
        <v>492</v>
      </c>
      <c r="D496" s="92">
        <f t="shared" si="48"/>
        <v>3.0138888888880618E-2</v>
      </c>
      <c r="E496" s="92">
        <f>IF(H496=0,0,G496*('Atsipirkimo vertinimas'!$N$19)/12)</f>
        <v>-1.0004166666666749</v>
      </c>
      <c r="F496" s="92">
        <f>($G$4/('Atsipirkimo vertinimas'!$N$18*12-'Atsipirkimo vertinimas'!$N$20)*H496)</f>
        <v>0.97222222222222221</v>
      </c>
      <c r="G496" s="92">
        <f t="shared" si="51"/>
        <v>-245.00000000000202</v>
      </c>
      <c r="H496">
        <f>IF(C496-'Atsipirkimo vertinimas'!$N$20&lt;0,0,1)</f>
        <v>1</v>
      </c>
      <c r="I496" s="92"/>
      <c r="J496" s="92">
        <f t="shared" si="49"/>
        <v>0</v>
      </c>
      <c r="K496" s="92"/>
      <c r="L496" s="88"/>
      <c r="N496" s="88">
        <v>492</v>
      </c>
      <c r="O496" s="92">
        <f t="shared" si="50"/>
        <v>5.8333333333333355E-2</v>
      </c>
      <c r="P496" s="92">
        <f>IF($Z$64&lt;S496+(S496*(('Atsipirkimo vertinimas'!$N$19)/12)),($Z$64*T496)+(Q496*U496),S496+(S496*(('Atsipirkimo vertinimas'!$N$19)/12)))</f>
        <v>0</v>
      </c>
      <c r="Q496" s="92">
        <f>IF(T496=0,0,S496*('Atsipirkimo vertinimas'!$N$19)/12)</f>
        <v>0</v>
      </c>
      <c r="R496" s="92">
        <f t="shared" si="52"/>
        <v>0</v>
      </c>
      <c r="S496" s="92">
        <f t="shared" si="53"/>
        <v>0</v>
      </c>
      <c r="T496">
        <f>IF(N496-'Atsipirkimo vertinimas'!$N$20&lt;0,0,1)</f>
        <v>1</v>
      </c>
      <c r="U496">
        <f>IF(N496-'Atsipirkimo vertinimas'!$N$20&gt;=0,0,1)</f>
        <v>0</v>
      </c>
      <c r="V496" s="92"/>
      <c r="W496" s="92"/>
      <c r="X496" s="88"/>
    </row>
    <row r="497" spans="3:24" x14ac:dyDescent="0.25">
      <c r="C497" s="88">
        <v>493</v>
      </c>
      <c r="D497" s="92">
        <f t="shared" si="48"/>
        <v>2.6168981481473071E-2</v>
      </c>
      <c r="E497" s="92">
        <f>IF(H497=0,0,G497*('Atsipirkimo vertinimas'!$N$19)/12)</f>
        <v>-1.0043865740740825</v>
      </c>
      <c r="F497" s="92">
        <f>($G$4/('Atsipirkimo vertinimas'!$N$18*12-'Atsipirkimo vertinimas'!$N$20)*H497)</f>
        <v>0.97222222222222221</v>
      </c>
      <c r="G497" s="92">
        <f t="shared" si="51"/>
        <v>-245.97222222222425</v>
      </c>
      <c r="H497">
        <f>IF(C497-'Atsipirkimo vertinimas'!$N$20&lt;0,0,1)</f>
        <v>1</v>
      </c>
      <c r="I497" s="92"/>
      <c r="J497" s="92">
        <f t="shared" si="49"/>
        <v>0</v>
      </c>
      <c r="K497" s="92"/>
      <c r="L497" s="88"/>
      <c r="N497" s="88">
        <v>493</v>
      </c>
      <c r="O497" s="92">
        <f t="shared" si="50"/>
        <v>5.8333333333333355E-2</v>
      </c>
      <c r="P497" s="92">
        <f>IF($Z$64&lt;S497+(S497*(('Atsipirkimo vertinimas'!$N$19)/12)),($Z$64*T497)+(Q497*U497),S497+(S497*(('Atsipirkimo vertinimas'!$N$19)/12)))</f>
        <v>0</v>
      </c>
      <c r="Q497" s="92">
        <f>IF(T497=0,0,S497*('Atsipirkimo vertinimas'!$N$19)/12)</f>
        <v>0</v>
      </c>
      <c r="R497" s="92">
        <f t="shared" si="52"/>
        <v>0</v>
      </c>
      <c r="S497" s="92">
        <f t="shared" si="53"/>
        <v>0</v>
      </c>
      <c r="T497">
        <f>IF(N497-'Atsipirkimo vertinimas'!$N$20&lt;0,0,1)</f>
        <v>1</v>
      </c>
      <c r="U497">
        <f>IF(N497-'Atsipirkimo vertinimas'!$N$20&gt;=0,0,1)</f>
        <v>0</v>
      </c>
      <c r="V497" s="92"/>
      <c r="W497" s="92"/>
      <c r="X497" s="88"/>
    </row>
    <row r="498" spans="3:24" x14ac:dyDescent="0.25">
      <c r="C498" s="88">
        <v>494</v>
      </c>
      <c r="D498" s="92">
        <f t="shared" si="48"/>
        <v>2.2199074074065746E-2</v>
      </c>
      <c r="E498" s="92">
        <f>IF(H498=0,0,G498*('Atsipirkimo vertinimas'!$N$19)/12)</f>
        <v>-1.0083564814814898</v>
      </c>
      <c r="F498" s="92">
        <f>($G$4/('Atsipirkimo vertinimas'!$N$18*12-'Atsipirkimo vertinimas'!$N$20)*H498)</f>
        <v>0.97222222222222221</v>
      </c>
      <c r="G498" s="92">
        <f t="shared" si="51"/>
        <v>-246.94444444444648</v>
      </c>
      <c r="H498">
        <f>IF(C498-'Atsipirkimo vertinimas'!$N$20&lt;0,0,1)</f>
        <v>1</v>
      </c>
      <c r="I498" s="92"/>
      <c r="J498" s="92">
        <f t="shared" si="49"/>
        <v>0</v>
      </c>
      <c r="K498" s="92"/>
      <c r="L498" s="88"/>
      <c r="N498" s="88">
        <v>494</v>
      </c>
      <c r="O498" s="92">
        <f t="shared" si="50"/>
        <v>5.8333333333333355E-2</v>
      </c>
      <c r="P498" s="92">
        <f>IF($Z$64&lt;S498+(S498*(('Atsipirkimo vertinimas'!$N$19)/12)),($Z$64*T498)+(Q498*U498),S498+(S498*(('Atsipirkimo vertinimas'!$N$19)/12)))</f>
        <v>0</v>
      </c>
      <c r="Q498" s="92">
        <f>IF(T498=0,0,S498*('Atsipirkimo vertinimas'!$N$19)/12)</f>
        <v>0</v>
      </c>
      <c r="R498" s="92">
        <f t="shared" si="52"/>
        <v>0</v>
      </c>
      <c r="S498" s="92">
        <f t="shared" si="53"/>
        <v>0</v>
      </c>
      <c r="T498">
        <f>IF(N498-'Atsipirkimo vertinimas'!$N$20&lt;0,0,1)</f>
        <v>1</v>
      </c>
      <c r="U498">
        <f>IF(N498-'Atsipirkimo vertinimas'!$N$20&gt;=0,0,1)</f>
        <v>0</v>
      </c>
      <c r="V498" s="92"/>
      <c r="W498" s="92"/>
      <c r="X498" s="88"/>
    </row>
    <row r="499" spans="3:24" x14ac:dyDescent="0.25">
      <c r="C499" s="88">
        <v>495</v>
      </c>
      <c r="D499" s="92">
        <f t="shared" si="48"/>
        <v>1.8229166666658421E-2</v>
      </c>
      <c r="E499" s="92">
        <f>IF(H499=0,0,G499*('Atsipirkimo vertinimas'!$N$19)/12)</f>
        <v>-1.0123263888888971</v>
      </c>
      <c r="F499" s="92">
        <f>($G$4/('Atsipirkimo vertinimas'!$N$18*12-'Atsipirkimo vertinimas'!$N$20)*H499)</f>
        <v>0.97222222222222221</v>
      </c>
      <c r="G499" s="92">
        <f t="shared" si="51"/>
        <v>-247.9166666666687</v>
      </c>
      <c r="H499">
        <f>IF(C499-'Atsipirkimo vertinimas'!$N$20&lt;0,0,1)</f>
        <v>1</v>
      </c>
      <c r="I499" s="92"/>
      <c r="J499" s="92">
        <f t="shared" si="49"/>
        <v>0</v>
      </c>
      <c r="K499" s="92"/>
      <c r="L499" s="88"/>
      <c r="N499" s="88">
        <v>495</v>
      </c>
      <c r="O499" s="92">
        <f t="shared" si="50"/>
        <v>5.8333333333333355E-2</v>
      </c>
      <c r="P499" s="92">
        <f>IF($Z$64&lt;S499+(S499*(('Atsipirkimo vertinimas'!$N$19)/12)),($Z$64*T499)+(Q499*U499),S499+(S499*(('Atsipirkimo vertinimas'!$N$19)/12)))</f>
        <v>0</v>
      </c>
      <c r="Q499" s="92">
        <f>IF(T499=0,0,S499*('Atsipirkimo vertinimas'!$N$19)/12)</f>
        <v>0</v>
      </c>
      <c r="R499" s="92">
        <f t="shared" si="52"/>
        <v>0</v>
      </c>
      <c r="S499" s="92">
        <f t="shared" si="53"/>
        <v>0</v>
      </c>
      <c r="T499">
        <f>IF(N499-'Atsipirkimo vertinimas'!$N$20&lt;0,0,1)</f>
        <v>1</v>
      </c>
      <c r="U499">
        <f>IF(N499-'Atsipirkimo vertinimas'!$N$20&gt;=0,0,1)</f>
        <v>0</v>
      </c>
      <c r="V499" s="92"/>
      <c r="W499" s="92"/>
      <c r="X499" s="88"/>
    </row>
    <row r="500" spans="3:24" x14ac:dyDescent="0.25">
      <c r="C500" s="88">
        <v>496</v>
      </c>
      <c r="D500" s="92">
        <f t="shared" si="48"/>
        <v>1.4259259259250874E-2</v>
      </c>
      <c r="E500" s="92">
        <f>IF(H500=0,0,G500*('Atsipirkimo vertinimas'!$N$19)/12)</f>
        <v>-1.0162962962963047</v>
      </c>
      <c r="F500" s="92">
        <f>($G$4/('Atsipirkimo vertinimas'!$N$18*12-'Atsipirkimo vertinimas'!$N$20)*H500)</f>
        <v>0.97222222222222221</v>
      </c>
      <c r="G500" s="92">
        <f t="shared" si="51"/>
        <v>-248.88888888889093</v>
      </c>
      <c r="H500">
        <f>IF(C500-'Atsipirkimo vertinimas'!$N$20&lt;0,0,1)</f>
        <v>1</v>
      </c>
      <c r="I500" s="92"/>
      <c r="J500" s="92">
        <f t="shared" si="49"/>
        <v>0</v>
      </c>
      <c r="K500" s="92"/>
      <c r="L500" s="88"/>
      <c r="N500" s="88">
        <v>496</v>
      </c>
      <c r="O500" s="92">
        <f t="shared" si="50"/>
        <v>5.8333333333333355E-2</v>
      </c>
      <c r="P500" s="92">
        <f>IF($Z$64&lt;S500+(S500*(('Atsipirkimo vertinimas'!$N$19)/12)),($Z$64*T500)+(Q500*U500),S500+(S500*(('Atsipirkimo vertinimas'!$N$19)/12)))</f>
        <v>0</v>
      </c>
      <c r="Q500" s="92">
        <f>IF(T500=0,0,S500*('Atsipirkimo vertinimas'!$N$19)/12)</f>
        <v>0</v>
      </c>
      <c r="R500" s="92">
        <f t="shared" si="52"/>
        <v>0</v>
      </c>
      <c r="S500" s="92">
        <f t="shared" si="53"/>
        <v>0</v>
      </c>
      <c r="T500">
        <f>IF(N500-'Atsipirkimo vertinimas'!$N$20&lt;0,0,1)</f>
        <v>1</v>
      </c>
      <c r="U500">
        <f>IF(N500-'Atsipirkimo vertinimas'!$N$20&gt;=0,0,1)</f>
        <v>0</v>
      </c>
      <c r="V500" s="92"/>
      <c r="W500" s="92"/>
      <c r="X500" s="88"/>
    </row>
    <row r="501" spans="3:24" x14ac:dyDescent="0.25">
      <c r="C501" s="88">
        <v>497</v>
      </c>
      <c r="D501" s="92">
        <f t="shared" si="48"/>
        <v>1.0289351851843327E-2</v>
      </c>
      <c r="E501" s="92">
        <f>IF(H501=0,0,G501*('Atsipirkimo vertinimas'!$N$19)/12)</f>
        <v>-1.0202662037037122</v>
      </c>
      <c r="F501" s="92">
        <f>($G$4/('Atsipirkimo vertinimas'!$N$18*12-'Atsipirkimo vertinimas'!$N$20)*H501)</f>
        <v>0.97222222222222221</v>
      </c>
      <c r="G501" s="92">
        <f t="shared" si="51"/>
        <v>-249.86111111111316</v>
      </c>
      <c r="H501">
        <f>IF(C501-'Atsipirkimo vertinimas'!$N$20&lt;0,0,1)</f>
        <v>1</v>
      </c>
      <c r="I501" s="92"/>
      <c r="J501" s="92">
        <f t="shared" si="49"/>
        <v>0</v>
      </c>
      <c r="K501" s="92"/>
      <c r="L501" s="88"/>
      <c r="N501" s="88">
        <v>497</v>
      </c>
      <c r="O501" s="92">
        <f t="shared" si="50"/>
        <v>5.8333333333333355E-2</v>
      </c>
      <c r="P501" s="92">
        <f>IF($Z$64&lt;S501+(S501*(('Atsipirkimo vertinimas'!$N$19)/12)),($Z$64*T501)+(Q501*U501),S501+(S501*(('Atsipirkimo vertinimas'!$N$19)/12)))</f>
        <v>0</v>
      </c>
      <c r="Q501" s="92">
        <f>IF(T501=0,0,S501*('Atsipirkimo vertinimas'!$N$19)/12)</f>
        <v>0</v>
      </c>
      <c r="R501" s="92">
        <f t="shared" si="52"/>
        <v>0</v>
      </c>
      <c r="S501" s="92">
        <f t="shared" si="53"/>
        <v>0</v>
      </c>
      <c r="T501">
        <f>IF(N501-'Atsipirkimo vertinimas'!$N$20&lt;0,0,1)</f>
        <v>1</v>
      </c>
      <c r="U501">
        <f>IF(N501-'Atsipirkimo vertinimas'!$N$20&gt;=0,0,1)</f>
        <v>0</v>
      </c>
      <c r="V501" s="92"/>
      <c r="W501" s="92"/>
      <c r="X501" s="88"/>
    </row>
    <row r="502" spans="3:24" x14ac:dyDescent="0.25">
      <c r="C502" s="88">
        <v>498</v>
      </c>
      <c r="D502" s="92">
        <f t="shared" si="48"/>
        <v>6.3194444444360023E-3</v>
      </c>
      <c r="E502" s="92">
        <f>IF(H502=0,0,G502*('Atsipirkimo vertinimas'!$N$19)/12)</f>
        <v>-1.0242361111111196</v>
      </c>
      <c r="F502" s="92">
        <f>($G$4/('Atsipirkimo vertinimas'!$N$18*12-'Atsipirkimo vertinimas'!$N$20)*H502)</f>
        <v>0.97222222222222221</v>
      </c>
      <c r="G502" s="92">
        <f t="shared" si="51"/>
        <v>-250.83333333333539</v>
      </c>
      <c r="H502">
        <f>IF(C502-'Atsipirkimo vertinimas'!$N$20&lt;0,0,1)</f>
        <v>1</v>
      </c>
      <c r="I502" s="92"/>
      <c r="J502" s="92">
        <f t="shared" si="49"/>
        <v>0</v>
      </c>
      <c r="K502" s="92"/>
      <c r="L502" s="88"/>
      <c r="N502" s="88">
        <v>498</v>
      </c>
      <c r="O502" s="92">
        <f t="shared" si="50"/>
        <v>5.8333333333333355E-2</v>
      </c>
      <c r="P502" s="92">
        <f>IF($Z$64&lt;S502+(S502*(('Atsipirkimo vertinimas'!$N$19)/12)),($Z$64*T502)+(Q502*U502),S502+(S502*(('Atsipirkimo vertinimas'!$N$19)/12)))</f>
        <v>0</v>
      </c>
      <c r="Q502" s="92">
        <f>IF(T502=0,0,S502*('Atsipirkimo vertinimas'!$N$19)/12)</f>
        <v>0</v>
      </c>
      <c r="R502" s="92">
        <f t="shared" si="52"/>
        <v>0</v>
      </c>
      <c r="S502" s="92">
        <f t="shared" si="53"/>
        <v>0</v>
      </c>
      <c r="T502">
        <f>IF(N502-'Atsipirkimo vertinimas'!$N$20&lt;0,0,1)</f>
        <v>1</v>
      </c>
      <c r="U502">
        <f>IF(N502-'Atsipirkimo vertinimas'!$N$20&gt;=0,0,1)</f>
        <v>0</v>
      </c>
      <c r="V502" s="92"/>
      <c r="W502" s="92"/>
      <c r="X502" s="88"/>
    </row>
    <row r="503" spans="3:24" x14ac:dyDescent="0.25">
      <c r="C503" s="88">
        <v>499</v>
      </c>
      <c r="D503" s="92">
        <f t="shared" si="48"/>
        <v>2.3495370370286775E-3</v>
      </c>
      <c r="E503" s="92">
        <f>IF(H503=0,0,G503*('Atsipirkimo vertinimas'!$N$19)/12)</f>
        <v>-1.0282060185185269</v>
      </c>
      <c r="F503" s="92">
        <f>($G$4/('Atsipirkimo vertinimas'!$N$18*12-'Atsipirkimo vertinimas'!$N$20)*H503)</f>
        <v>0.97222222222222221</v>
      </c>
      <c r="G503" s="92">
        <f t="shared" si="51"/>
        <v>-251.80555555555762</v>
      </c>
      <c r="H503">
        <f>IF(C503-'Atsipirkimo vertinimas'!$N$20&lt;0,0,1)</f>
        <v>1</v>
      </c>
      <c r="I503" s="92"/>
      <c r="J503" s="92">
        <f t="shared" si="49"/>
        <v>0</v>
      </c>
      <c r="K503" s="92"/>
      <c r="L503" s="88"/>
      <c r="N503" s="88">
        <v>499</v>
      </c>
      <c r="O503" s="92">
        <f t="shared" si="50"/>
        <v>5.8333333333333355E-2</v>
      </c>
      <c r="P503" s="92">
        <f>IF($Z$64&lt;S503+(S503*(('Atsipirkimo vertinimas'!$N$19)/12)),($Z$64*T503)+(Q503*U503),S503+(S503*(('Atsipirkimo vertinimas'!$N$19)/12)))</f>
        <v>0</v>
      </c>
      <c r="Q503" s="92">
        <f>IF(T503=0,0,S503*('Atsipirkimo vertinimas'!$N$19)/12)</f>
        <v>0</v>
      </c>
      <c r="R503" s="92">
        <f t="shared" si="52"/>
        <v>0</v>
      </c>
      <c r="S503" s="92">
        <f t="shared" si="53"/>
        <v>0</v>
      </c>
      <c r="T503">
        <f>IF(N503-'Atsipirkimo vertinimas'!$N$20&lt;0,0,1)</f>
        <v>1</v>
      </c>
      <c r="U503">
        <f>IF(N503-'Atsipirkimo vertinimas'!$N$20&gt;=0,0,1)</f>
        <v>0</v>
      </c>
      <c r="V503" s="92"/>
      <c r="W503" s="92"/>
      <c r="X503" s="88"/>
    </row>
    <row r="504" spans="3:24" x14ac:dyDescent="0.25">
      <c r="C504" s="88">
        <v>500</v>
      </c>
      <c r="D504" s="92">
        <f t="shared" si="48"/>
        <v>-1.6203703703788694E-3</v>
      </c>
      <c r="E504" s="92">
        <f>IF(H504=0,0,G504*('Atsipirkimo vertinimas'!$N$19)/12)</f>
        <v>-1.0321759259259344</v>
      </c>
      <c r="F504" s="92">
        <f>($G$4/('Atsipirkimo vertinimas'!$N$18*12-'Atsipirkimo vertinimas'!$N$20)*H504)</f>
        <v>0.97222222222222221</v>
      </c>
      <c r="G504" s="92">
        <f t="shared" si="51"/>
        <v>-252.77777777777985</v>
      </c>
      <c r="H504">
        <f>IF(C504-'Atsipirkimo vertinimas'!$N$20&lt;0,0,1)</f>
        <v>1</v>
      </c>
      <c r="I504" s="92"/>
      <c r="J504" s="92">
        <f t="shared" si="49"/>
        <v>0</v>
      </c>
      <c r="K504" s="92"/>
      <c r="L504" s="88"/>
      <c r="N504" s="88">
        <v>500</v>
      </c>
      <c r="O504" s="92">
        <f t="shared" si="50"/>
        <v>5.8333333333333355E-2</v>
      </c>
      <c r="P504" s="92">
        <f>IF($Z$64&lt;S504+(S504*(('Atsipirkimo vertinimas'!$N$19)/12)),($Z$64*T504)+(Q504*U504),S504+(S504*(('Atsipirkimo vertinimas'!$N$19)/12)))</f>
        <v>0</v>
      </c>
      <c r="Q504" s="92">
        <f>IF(T504=0,0,S504*('Atsipirkimo vertinimas'!$N$19)/12)</f>
        <v>0</v>
      </c>
      <c r="R504" s="92">
        <f t="shared" si="52"/>
        <v>0</v>
      </c>
      <c r="S504" s="92">
        <f t="shared" si="53"/>
        <v>0</v>
      </c>
      <c r="T504">
        <f>IF(N504-'Atsipirkimo vertinimas'!$N$20&lt;0,0,1)</f>
        <v>1</v>
      </c>
      <c r="U504">
        <f>IF(N504-'Atsipirkimo vertinimas'!$N$20&gt;=0,0,1)</f>
        <v>0</v>
      </c>
      <c r="V504" s="92"/>
      <c r="W504" s="92"/>
      <c r="X504" s="88"/>
    </row>
    <row r="505" spans="3:24" x14ac:dyDescent="0.25">
      <c r="C505" s="88">
        <v>501</v>
      </c>
      <c r="D505" s="92">
        <f t="shared" si="48"/>
        <v>-5.5902777777864163E-3</v>
      </c>
      <c r="E505" s="92">
        <f>IF(H505=0,0,G505*('Atsipirkimo vertinimas'!$N$19)/12)</f>
        <v>-1.036145833333342</v>
      </c>
      <c r="F505" s="92">
        <f>($G$4/('Atsipirkimo vertinimas'!$N$18*12-'Atsipirkimo vertinimas'!$N$20)*H505)</f>
        <v>0.97222222222222221</v>
      </c>
      <c r="G505" s="92">
        <f t="shared" si="51"/>
        <v>-253.75000000000207</v>
      </c>
      <c r="H505">
        <f>IF(C505-'Atsipirkimo vertinimas'!$N$20&lt;0,0,1)</f>
        <v>1</v>
      </c>
      <c r="I505" s="92"/>
      <c r="J505" s="92">
        <f t="shared" si="49"/>
        <v>0</v>
      </c>
      <c r="K505" s="92"/>
      <c r="L505" s="88"/>
      <c r="N505" s="88">
        <v>501</v>
      </c>
      <c r="O505" s="92">
        <f t="shared" si="50"/>
        <v>5.8333333333333355E-2</v>
      </c>
      <c r="P505" s="92">
        <f>IF($Z$64&lt;S505+(S505*(('Atsipirkimo vertinimas'!$N$19)/12)),($Z$64*T505)+(Q505*U505),S505+(S505*(('Atsipirkimo vertinimas'!$N$19)/12)))</f>
        <v>0</v>
      </c>
      <c r="Q505" s="92">
        <f>IF(T505=0,0,S505*('Atsipirkimo vertinimas'!$N$19)/12)</f>
        <v>0</v>
      </c>
      <c r="R505" s="92">
        <f t="shared" si="52"/>
        <v>0</v>
      </c>
      <c r="S505" s="92">
        <f t="shared" si="53"/>
        <v>0</v>
      </c>
      <c r="T505">
        <f>IF(N505-'Atsipirkimo vertinimas'!$N$20&lt;0,0,1)</f>
        <v>1</v>
      </c>
      <c r="U505">
        <f>IF(N505-'Atsipirkimo vertinimas'!$N$20&gt;=0,0,1)</f>
        <v>0</v>
      </c>
      <c r="V505" s="92"/>
      <c r="W505" s="92"/>
      <c r="X505" s="88"/>
    </row>
    <row r="506" spans="3:24" x14ac:dyDescent="0.25">
      <c r="C506" s="88">
        <v>502</v>
      </c>
      <c r="D506" s="92">
        <f t="shared" si="48"/>
        <v>-9.5601851851937411E-3</v>
      </c>
      <c r="E506" s="92">
        <f>IF(H506=0,0,G506*('Atsipirkimo vertinimas'!$N$19)/12)</f>
        <v>-1.0401157407407493</v>
      </c>
      <c r="F506" s="92">
        <f>($G$4/('Atsipirkimo vertinimas'!$N$18*12-'Atsipirkimo vertinimas'!$N$20)*H506)</f>
        <v>0.97222222222222221</v>
      </c>
      <c r="G506" s="92">
        <f t="shared" si="51"/>
        <v>-254.7222222222243</v>
      </c>
      <c r="H506">
        <f>IF(C506-'Atsipirkimo vertinimas'!$N$20&lt;0,0,1)</f>
        <v>1</v>
      </c>
      <c r="I506" s="92"/>
      <c r="J506" s="92">
        <f t="shared" si="49"/>
        <v>0</v>
      </c>
      <c r="K506" s="92"/>
      <c r="L506" s="88"/>
      <c r="N506" s="88">
        <v>502</v>
      </c>
      <c r="O506" s="92">
        <f t="shared" si="50"/>
        <v>5.8333333333333355E-2</v>
      </c>
      <c r="P506" s="92">
        <f>IF($Z$64&lt;S506+(S506*(('Atsipirkimo vertinimas'!$N$19)/12)),($Z$64*T506)+(Q506*U506),S506+(S506*(('Atsipirkimo vertinimas'!$N$19)/12)))</f>
        <v>0</v>
      </c>
      <c r="Q506" s="92">
        <f>IF(T506=0,0,S506*('Atsipirkimo vertinimas'!$N$19)/12)</f>
        <v>0</v>
      </c>
      <c r="R506" s="92">
        <f t="shared" si="52"/>
        <v>0</v>
      </c>
      <c r="S506" s="92">
        <f t="shared" si="53"/>
        <v>0</v>
      </c>
      <c r="T506">
        <f>IF(N506-'Atsipirkimo vertinimas'!$N$20&lt;0,0,1)</f>
        <v>1</v>
      </c>
      <c r="U506">
        <f>IF(N506-'Atsipirkimo vertinimas'!$N$20&gt;=0,0,1)</f>
        <v>0</v>
      </c>
      <c r="V506" s="92"/>
      <c r="W506" s="92"/>
      <c r="X506" s="88"/>
    </row>
    <row r="507" spans="3:24" x14ac:dyDescent="0.25">
      <c r="C507" s="88">
        <v>503</v>
      </c>
      <c r="D507" s="92">
        <f t="shared" si="48"/>
        <v>-1.3530092592601066E-2</v>
      </c>
      <c r="E507" s="92">
        <f>IF(H507=0,0,G507*('Atsipirkimo vertinimas'!$N$19)/12)</f>
        <v>-1.0440856481481566</v>
      </c>
      <c r="F507" s="92">
        <f>($G$4/('Atsipirkimo vertinimas'!$N$18*12-'Atsipirkimo vertinimas'!$N$20)*H507)</f>
        <v>0.97222222222222221</v>
      </c>
      <c r="G507" s="92">
        <f t="shared" si="51"/>
        <v>-255.69444444444653</v>
      </c>
      <c r="H507">
        <f>IF(C507-'Atsipirkimo vertinimas'!$N$20&lt;0,0,1)</f>
        <v>1</v>
      </c>
      <c r="I507" s="92"/>
      <c r="J507" s="92">
        <f t="shared" si="49"/>
        <v>0</v>
      </c>
      <c r="K507" s="92"/>
      <c r="L507" s="91">
        <f>IF('Atsipirkimo vertinimas'!$N$18*12&gt;Grafikas!C507,SUM(D496:D507),0)</f>
        <v>0</v>
      </c>
      <c r="N507" s="88">
        <v>503</v>
      </c>
      <c r="O507" s="92">
        <f t="shared" si="50"/>
        <v>5.8333333333333355E-2</v>
      </c>
      <c r="P507" s="92">
        <f>IF($Z$64&lt;S507+(S507*(('Atsipirkimo vertinimas'!$N$19)/12)),($Z$64*T507)+(Q507*U507),S507+(S507*(('Atsipirkimo vertinimas'!$N$19)/12)))</f>
        <v>0</v>
      </c>
      <c r="Q507" s="92">
        <f>IF(T507=0,0,S507*('Atsipirkimo vertinimas'!$N$19)/12)</f>
        <v>0</v>
      </c>
      <c r="R507" s="92">
        <f t="shared" si="52"/>
        <v>0</v>
      </c>
      <c r="S507" s="92">
        <f t="shared" si="53"/>
        <v>0</v>
      </c>
      <c r="T507">
        <f>IF(N507-'Atsipirkimo vertinimas'!$N$20&lt;0,0,1)</f>
        <v>1</v>
      </c>
      <c r="U507">
        <f>IF(N507-'Atsipirkimo vertinimas'!$N$20&gt;=0,0,1)</f>
        <v>0</v>
      </c>
      <c r="V507" s="92"/>
      <c r="W507" s="92"/>
      <c r="X507" s="91">
        <f>IF('Atsipirkimo vertinimas'!$N$18*12&gt;Grafikas!C507,SUM(O496:O507),0)</f>
        <v>0</v>
      </c>
    </row>
    <row r="508" spans="3:24" x14ac:dyDescent="0.25">
      <c r="C508" s="88">
        <v>504</v>
      </c>
      <c r="D508" s="92">
        <f t="shared" si="48"/>
        <v>-1.7500000000008391E-2</v>
      </c>
      <c r="E508" s="92">
        <f>IF(H508=0,0,G508*('Atsipirkimo vertinimas'!$N$19)/12)</f>
        <v>-1.048055555555564</v>
      </c>
      <c r="F508" s="92">
        <f>($G$4/('Atsipirkimo vertinimas'!$N$18*12-'Atsipirkimo vertinimas'!$N$20)*H508)</f>
        <v>0.97222222222222221</v>
      </c>
      <c r="G508" s="92">
        <f t="shared" si="51"/>
        <v>-256.66666666666873</v>
      </c>
      <c r="H508">
        <f>IF(C508-'Atsipirkimo vertinimas'!$N$20&lt;0,0,1)</f>
        <v>1</v>
      </c>
      <c r="I508" s="92"/>
      <c r="J508" s="92">
        <f t="shared" si="49"/>
        <v>0</v>
      </c>
      <c r="K508" s="92"/>
      <c r="L508" s="88"/>
      <c r="N508" s="88">
        <v>504</v>
      </c>
      <c r="O508" s="92">
        <f t="shared" si="50"/>
        <v>5.8333333333333355E-2</v>
      </c>
      <c r="P508" s="92">
        <f>IF($Z$64&lt;S508+(S508*(('Atsipirkimo vertinimas'!$N$19)/12)),($Z$64*T508)+(Q508*U508),S508+(S508*(('Atsipirkimo vertinimas'!$N$19)/12)))</f>
        <v>0</v>
      </c>
      <c r="Q508" s="92">
        <f>IF(T508=0,0,S508*('Atsipirkimo vertinimas'!$N$19)/12)</f>
        <v>0</v>
      </c>
      <c r="R508" s="92">
        <f t="shared" si="52"/>
        <v>0</v>
      </c>
      <c r="S508" s="92">
        <f t="shared" si="53"/>
        <v>0</v>
      </c>
      <c r="T508">
        <f>IF(N508-'Atsipirkimo vertinimas'!$N$20&lt;0,0,1)</f>
        <v>1</v>
      </c>
      <c r="U508">
        <f>IF(N508-'Atsipirkimo vertinimas'!$N$20&gt;=0,0,1)</f>
        <v>0</v>
      </c>
      <c r="V508" s="92"/>
      <c r="W508" s="92"/>
      <c r="X508" s="88"/>
    </row>
    <row r="509" spans="3:24" x14ac:dyDescent="0.25">
      <c r="C509" s="88">
        <v>505</v>
      </c>
      <c r="D509" s="92">
        <f t="shared" si="48"/>
        <v>-2.1469907407415938E-2</v>
      </c>
      <c r="E509" s="92">
        <f>IF(H509=0,0,G509*('Atsipirkimo vertinimas'!$N$19)/12)</f>
        <v>-1.0520254629629715</v>
      </c>
      <c r="F509" s="92">
        <f>($G$4/('Atsipirkimo vertinimas'!$N$18*12-'Atsipirkimo vertinimas'!$N$20)*H509)</f>
        <v>0.97222222222222221</v>
      </c>
      <c r="G509" s="92">
        <f t="shared" si="51"/>
        <v>-257.63888888889096</v>
      </c>
      <c r="H509">
        <f>IF(C509-'Atsipirkimo vertinimas'!$N$20&lt;0,0,1)</f>
        <v>1</v>
      </c>
      <c r="I509" s="92"/>
      <c r="J509" s="92">
        <f t="shared" si="49"/>
        <v>0</v>
      </c>
      <c r="K509" s="92"/>
      <c r="L509" s="88"/>
      <c r="N509" s="88">
        <v>505</v>
      </c>
      <c r="O509" s="92">
        <f t="shared" si="50"/>
        <v>5.8333333333333355E-2</v>
      </c>
      <c r="P509" s="92">
        <f>IF($Z$64&lt;S509+(S509*(('Atsipirkimo vertinimas'!$N$19)/12)),($Z$64*T509)+(Q509*U509),S509+(S509*(('Atsipirkimo vertinimas'!$N$19)/12)))</f>
        <v>0</v>
      </c>
      <c r="Q509" s="92">
        <f>IF(T509=0,0,S509*('Atsipirkimo vertinimas'!$N$19)/12)</f>
        <v>0</v>
      </c>
      <c r="R509" s="92">
        <f t="shared" si="52"/>
        <v>0</v>
      </c>
      <c r="S509" s="92">
        <f t="shared" si="53"/>
        <v>0</v>
      </c>
      <c r="T509">
        <f>IF(N509-'Atsipirkimo vertinimas'!$N$20&lt;0,0,1)</f>
        <v>1</v>
      </c>
      <c r="U509">
        <f>IF(N509-'Atsipirkimo vertinimas'!$N$20&gt;=0,0,1)</f>
        <v>0</v>
      </c>
      <c r="V509" s="92"/>
      <c r="W509" s="92"/>
      <c r="X509" s="88"/>
    </row>
    <row r="510" spans="3:24" x14ac:dyDescent="0.25">
      <c r="C510" s="88">
        <v>506</v>
      </c>
      <c r="D510" s="92">
        <f t="shared" si="48"/>
        <v>-2.5439814814823263E-2</v>
      </c>
      <c r="E510" s="92">
        <f>IF(H510=0,0,G510*('Atsipirkimo vertinimas'!$N$19)/12)</f>
        <v>-1.0559953703703788</v>
      </c>
      <c r="F510" s="92">
        <f>($G$4/('Atsipirkimo vertinimas'!$N$18*12-'Atsipirkimo vertinimas'!$N$20)*H510)</f>
        <v>0.97222222222222221</v>
      </c>
      <c r="G510" s="92">
        <f t="shared" si="51"/>
        <v>-258.61111111111319</v>
      </c>
      <c r="H510">
        <f>IF(C510-'Atsipirkimo vertinimas'!$N$20&lt;0,0,1)</f>
        <v>1</v>
      </c>
      <c r="I510" s="92"/>
      <c r="J510" s="92">
        <f t="shared" si="49"/>
        <v>0</v>
      </c>
      <c r="K510" s="92"/>
      <c r="L510" s="88"/>
      <c r="N510" s="88">
        <v>506</v>
      </c>
      <c r="O510" s="92">
        <f t="shared" si="50"/>
        <v>5.8333333333333355E-2</v>
      </c>
      <c r="P510" s="92">
        <f>IF($Z$64&lt;S510+(S510*(('Atsipirkimo vertinimas'!$N$19)/12)),($Z$64*T510)+(Q510*U510),S510+(S510*(('Atsipirkimo vertinimas'!$N$19)/12)))</f>
        <v>0</v>
      </c>
      <c r="Q510" s="92">
        <f>IF(T510=0,0,S510*('Atsipirkimo vertinimas'!$N$19)/12)</f>
        <v>0</v>
      </c>
      <c r="R510" s="92">
        <f t="shared" si="52"/>
        <v>0</v>
      </c>
      <c r="S510" s="92">
        <f t="shared" si="53"/>
        <v>0</v>
      </c>
      <c r="T510">
        <f>IF(N510-'Atsipirkimo vertinimas'!$N$20&lt;0,0,1)</f>
        <v>1</v>
      </c>
      <c r="U510">
        <f>IF(N510-'Atsipirkimo vertinimas'!$N$20&gt;=0,0,1)</f>
        <v>0</v>
      </c>
      <c r="V510" s="92"/>
      <c r="W510" s="92"/>
      <c r="X510" s="88"/>
    </row>
    <row r="511" spans="3:24" x14ac:dyDescent="0.25">
      <c r="C511" s="88">
        <v>507</v>
      </c>
      <c r="D511" s="92">
        <f t="shared" si="48"/>
        <v>-2.9409722222230809E-2</v>
      </c>
      <c r="E511" s="92">
        <f>IF(H511=0,0,G511*('Atsipirkimo vertinimas'!$N$19)/12)</f>
        <v>-1.0599652777777864</v>
      </c>
      <c r="F511" s="92">
        <f>($G$4/('Atsipirkimo vertinimas'!$N$18*12-'Atsipirkimo vertinimas'!$N$20)*H511)</f>
        <v>0.97222222222222221</v>
      </c>
      <c r="G511" s="92">
        <f t="shared" si="51"/>
        <v>-259.58333333333542</v>
      </c>
      <c r="H511">
        <f>IF(C511-'Atsipirkimo vertinimas'!$N$20&lt;0,0,1)</f>
        <v>1</v>
      </c>
      <c r="I511" s="92"/>
      <c r="J511" s="92">
        <f t="shared" si="49"/>
        <v>0</v>
      </c>
      <c r="K511" s="92"/>
      <c r="L511" s="88"/>
      <c r="N511" s="88">
        <v>507</v>
      </c>
      <c r="O511" s="92">
        <f t="shared" si="50"/>
        <v>5.8333333333333355E-2</v>
      </c>
      <c r="P511" s="92">
        <f>IF($Z$64&lt;S511+(S511*(('Atsipirkimo vertinimas'!$N$19)/12)),($Z$64*T511)+(Q511*U511),S511+(S511*(('Atsipirkimo vertinimas'!$N$19)/12)))</f>
        <v>0</v>
      </c>
      <c r="Q511" s="92">
        <f>IF(T511=0,0,S511*('Atsipirkimo vertinimas'!$N$19)/12)</f>
        <v>0</v>
      </c>
      <c r="R511" s="92">
        <f t="shared" si="52"/>
        <v>0</v>
      </c>
      <c r="S511" s="92">
        <f t="shared" si="53"/>
        <v>0</v>
      </c>
      <c r="T511">
        <f>IF(N511-'Atsipirkimo vertinimas'!$N$20&lt;0,0,1)</f>
        <v>1</v>
      </c>
      <c r="U511">
        <f>IF(N511-'Atsipirkimo vertinimas'!$N$20&gt;=0,0,1)</f>
        <v>0</v>
      </c>
      <c r="V511" s="92"/>
      <c r="W511" s="92"/>
      <c r="X511" s="88"/>
    </row>
    <row r="512" spans="3:24" x14ac:dyDescent="0.25">
      <c r="C512" s="88">
        <v>508</v>
      </c>
      <c r="D512" s="92">
        <f t="shared" si="48"/>
        <v>-3.3379629629638134E-2</v>
      </c>
      <c r="E512" s="92">
        <f>IF(H512=0,0,G512*('Atsipirkimo vertinimas'!$N$19)/12)</f>
        <v>-1.0639351851851937</v>
      </c>
      <c r="F512" s="92">
        <f>($G$4/('Atsipirkimo vertinimas'!$N$18*12-'Atsipirkimo vertinimas'!$N$20)*H512)</f>
        <v>0.97222222222222221</v>
      </c>
      <c r="G512" s="92">
        <f t="shared" si="51"/>
        <v>-260.55555555555765</v>
      </c>
      <c r="H512">
        <f>IF(C512-'Atsipirkimo vertinimas'!$N$20&lt;0,0,1)</f>
        <v>1</v>
      </c>
      <c r="I512" s="92"/>
      <c r="J512" s="92">
        <f t="shared" si="49"/>
        <v>0</v>
      </c>
      <c r="K512" s="92"/>
      <c r="L512" s="88"/>
      <c r="N512" s="88">
        <v>508</v>
      </c>
      <c r="O512" s="92">
        <f t="shared" si="50"/>
        <v>5.8333333333333355E-2</v>
      </c>
      <c r="P512" s="92">
        <f>IF($Z$64&lt;S512+(S512*(('Atsipirkimo vertinimas'!$N$19)/12)),($Z$64*T512)+(Q512*U512),S512+(S512*(('Atsipirkimo vertinimas'!$N$19)/12)))</f>
        <v>0</v>
      </c>
      <c r="Q512" s="92">
        <f>IF(T512=0,0,S512*('Atsipirkimo vertinimas'!$N$19)/12)</f>
        <v>0</v>
      </c>
      <c r="R512" s="92">
        <f t="shared" si="52"/>
        <v>0</v>
      </c>
      <c r="S512" s="92">
        <f t="shared" si="53"/>
        <v>0</v>
      </c>
      <c r="T512">
        <f>IF(N512-'Atsipirkimo vertinimas'!$N$20&lt;0,0,1)</f>
        <v>1</v>
      </c>
      <c r="U512">
        <f>IF(N512-'Atsipirkimo vertinimas'!$N$20&gt;=0,0,1)</f>
        <v>0</v>
      </c>
      <c r="V512" s="92"/>
      <c r="W512" s="92"/>
      <c r="X512" s="88"/>
    </row>
    <row r="513" spans="3:24" x14ac:dyDescent="0.25">
      <c r="C513" s="88">
        <v>509</v>
      </c>
      <c r="D513" s="92">
        <f t="shared" si="48"/>
        <v>-3.7349537037045681E-2</v>
      </c>
      <c r="E513" s="92">
        <f>IF(H513=0,0,G513*('Atsipirkimo vertinimas'!$N$19)/12)</f>
        <v>-1.0679050925926012</v>
      </c>
      <c r="F513" s="92">
        <f>($G$4/('Atsipirkimo vertinimas'!$N$18*12-'Atsipirkimo vertinimas'!$N$20)*H513)</f>
        <v>0.97222222222222221</v>
      </c>
      <c r="G513" s="92">
        <f t="shared" si="51"/>
        <v>-261.52777777777987</v>
      </c>
      <c r="H513">
        <f>IF(C513-'Atsipirkimo vertinimas'!$N$20&lt;0,0,1)</f>
        <v>1</v>
      </c>
      <c r="I513" s="92"/>
      <c r="J513" s="92">
        <f t="shared" si="49"/>
        <v>0</v>
      </c>
      <c r="K513" s="92"/>
      <c r="L513" s="88"/>
      <c r="N513" s="88">
        <v>509</v>
      </c>
      <c r="O513" s="92">
        <f t="shared" si="50"/>
        <v>5.8333333333333355E-2</v>
      </c>
      <c r="P513" s="92">
        <f>IF($Z$64&lt;S513+(S513*(('Atsipirkimo vertinimas'!$N$19)/12)),($Z$64*T513)+(Q513*U513),S513+(S513*(('Atsipirkimo vertinimas'!$N$19)/12)))</f>
        <v>0</v>
      </c>
      <c r="Q513" s="92">
        <f>IF(T513=0,0,S513*('Atsipirkimo vertinimas'!$N$19)/12)</f>
        <v>0</v>
      </c>
      <c r="R513" s="92">
        <f t="shared" si="52"/>
        <v>0</v>
      </c>
      <c r="S513" s="92">
        <f t="shared" si="53"/>
        <v>0</v>
      </c>
      <c r="T513">
        <f>IF(N513-'Atsipirkimo vertinimas'!$N$20&lt;0,0,1)</f>
        <v>1</v>
      </c>
      <c r="U513">
        <f>IF(N513-'Atsipirkimo vertinimas'!$N$20&gt;=0,0,1)</f>
        <v>0</v>
      </c>
      <c r="V513" s="92"/>
      <c r="W513" s="92"/>
      <c r="X513" s="88"/>
    </row>
    <row r="514" spans="3:24" x14ac:dyDescent="0.25">
      <c r="C514" s="88">
        <v>510</v>
      </c>
      <c r="D514" s="92">
        <f t="shared" si="48"/>
        <v>-4.1319444444453006E-2</v>
      </c>
      <c r="E514" s="92">
        <f>IF(H514=0,0,G514*('Atsipirkimo vertinimas'!$N$19)/12)</f>
        <v>-1.0718750000000086</v>
      </c>
      <c r="F514" s="92">
        <f>($G$4/('Atsipirkimo vertinimas'!$N$18*12-'Atsipirkimo vertinimas'!$N$20)*H514)</f>
        <v>0.97222222222222221</v>
      </c>
      <c r="G514" s="92">
        <f t="shared" si="51"/>
        <v>-262.5000000000021</v>
      </c>
      <c r="H514">
        <f>IF(C514-'Atsipirkimo vertinimas'!$N$20&lt;0,0,1)</f>
        <v>1</v>
      </c>
      <c r="I514" s="92"/>
      <c r="J514" s="92">
        <f t="shared" si="49"/>
        <v>0</v>
      </c>
      <c r="K514" s="92"/>
      <c r="L514" s="88"/>
      <c r="N514" s="88">
        <v>510</v>
      </c>
      <c r="O514" s="92">
        <f t="shared" si="50"/>
        <v>5.8333333333333355E-2</v>
      </c>
      <c r="P514" s="92">
        <f>IF($Z$64&lt;S514+(S514*(('Atsipirkimo vertinimas'!$N$19)/12)),($Z$64*T514)+(Q514*U514),S514+(S514*(('Atsipirkimo vertinimas'!$N$19)/12)))</f>
        <v>0</v>
      </c>
      <c r="Q514" s="92">
        <f>IF(T514=0,0,S514*('Atsipirkimo vertinimas'!$N$19)/12)</f>
        <v>0</v>
      </c>
      <c r="R514" s="92">
        <f t="shared" si="52"/>
        <v>0</v>
      </c>
      <c r="S514" s="92">
        <f t="shared" si="53"/>
        <v>0</v>
      </c>
      <c r="T514">
        <f>IF(N514-'Atsipirkimo vertinimas'!$N$20&lt;0,0,1)</f>
        <v>1</v>
      </c>
      <c r="U514">
        <f>IF(N514-'Atsipirkimo vertinimas'!$N$20&gt;=0,0,1)</f>
        <v>0</v>
      </c>
      <c r="V514" s="92"/>
      <c r="W514" s="92"/>
      <c r="X514" s="88"/>
    </row>
    <row r="515" spans="3:24" x14ac:dyDescent="0.25">
      <c r="C515" s="88">
        <v>511</v>
      </c>
      <c r="D515" s="92">
        <f t="shared" si="48"/>
        <v>-4.5289351851860553E-2</v>
      </c>
      <c r="E515" s="92">
        <f>IF(H515=0,0,G515*('Atsipirkimo vertinimas'!$N$19)/12)</f>
        <v>-1.0758449074074161</v>
      </c>
      <c r="F515" s="92">
        <f>($G$4/('Atsipirkimo vertinimas'!$N$18*12-'Atsipirkimo vertinimas'!$N$20)*H515)</f>
        <v>0.97222222222222221</v>
      </c>
      <c r="G515" s="92">
        <f t="shared" si="51"/>
        <v>-263.47222222222433</v>
      </c>
      <c r="H515">
        <f>IF(C515-'Atsipirkimo vertinimas'!$N$20&lt;0,0,1)</f>
        <v>1</v>
      </c>
      <c r="I515" s="92"/>
      <c r="J515" s="92">
        <f t="shared" si="49"/>
        <v>0</v>
      </c>
      <c r="K515" s="92"/>
      <c r="L515" s="88"/>
      <c r="N515" s="88">
        <v>511</v>
      </c>
      <c r="O515" s="92">
        <f t="shared" si="50"/>
        <v>5.8333333333333355E-2</v>
      </c>
      <c r="P515" s="92">
        <f>IF($Z$64&lt;S515+(S515*(('Atsipirkimo vertinimas'!$N$19)/12)),($Z$64*T515)+(Q515*U515),S515+(S515*(('Atsipirkimo vertinimas'!$N$19)/12)))</f>
        <v>0</v>
      </c>
      <c r="Q515" s="92">
        <f>IF(T515=0,0,S515*('Atsipirkimo vertinimas'!$N$19)/12)</f>
        <v>0</v>
      </c>
      <c r="R515" s="92">
        <f t="shared" si="52"/>
        <v>0</v>
      </c>
      <c r="S515" s="92">
        <f t="shared" si="53"/>
        <v>0</v>
      </c>
      <c r="T515">
        <f>IF(N515-'Atsipirkimo vertinimas'!$N$20&lt;0,0,1)</f>
        <v>1</v>
      </c>
      <c r="U515">
        <f>IF(N515-'Atsipirkimo vertinimas'!$N$20&gt;=0,0,1)</f>
        <v>0</v>
      </c>
      <c r="V515" s="92"/>
      <c r="W515" s="92"/>
      <c r="X515" s="88"/>
    </row>
    <row r="516" spans="3:24" x14ac:dyDescent="0.25">
      <c r="C516" s="88">
        <v>512</v>
      </c>
      <c r="D516" s="92">
        <f t="shared" si="48"/>
        <v>-4.9259259259267878E-2</v>
      </c>
      <c r="E516" s="92">
        <f>IF(H516=0,0,G516*('Atsipirkimo vertinimas'!$N$19)/12)</f>
        <v>-1.0798148148148234</v>
      </c>
      <c r="F516" s="92">
        <f>($G$4/('Atsipirkimo vertinimas'!$N$18*12-'Atsipirkimo vertinimas'!$N$20)*H516)</f>
        <v>0.97222222222222221</v>
      </c>
      <c r="G516" s="92">
        <f t="shared" si="51"/>
        <v>-264.44444444444656</v>
      </c>
      <c r="H516">
        <f>IF(C516-'Atsipirkimo vertinimas'!$N$20&lt;0,0,1)</f>
        <v>1</v>
      </c>
      <c r="I516" s="92"/>
      <c r="J516" s="92">
        <f t="shared" si="49"/>
        <v>0</v>
      </c>
      <c r="K516" s="92"/>
      <c r="L516" s="88"/>
      <c r="N516" s="88">
        <v>512</v>
      </c>
      <c r="O516" s="92">
        <f t="shared" si="50"/>
        <v>5.8333333333333355E-2</v>
      </c>
      <c r="P516" s="92">
        <f>IF($Z$64&lt;S516+(S516*(('Atsipirkimo vertinimas'!$N$19)/12)),($Z$64*T516)+(Q516*U516),S516+(S516*(('Atsipirkimo vertinimas'!$N$19)/12)))</f>
        <v>0</v>
      </c>
      <c r="Q516" s="92">
        <f>IF(T516=0,0,S516*('Atsipirkimo vertinimas'!$N$19)/12)</f>
        <v>0</v>
      </c>
      <c r="R516" s="92">
        <f t="shared" si="52"/>
        <v>0</v>
      </c>
      <c r="S516" s="92">
        <f t="shared" si="53"/>
        <v>0</v>
      </c>
      <c r="T516">
        <f>IF(N516-'Atsipirkimo vertinimas'!$N$20&lt;0,0,1)</f>
        <v>1</v>
      </c>
      <c r="U516">
        <f>IF(N516-'Atsipirkimo vertinimas'!$N$20&gt;=0,0,1)</f>
        <v>0</v>
      </c>
      <c r="V516" s="92"/>
      <c r="W516" s="92"/>
      <c r="X516" s="88"/>
    </row>
    <row r="517" spans="3:24" x14ac:dyDescent="0.25">
      <c r="C517" s="88">
        <v>513</v>
      </c>
      <c r="D517" s="92">
        <f t="shared" ref="D517:D580" si="54">IF(H517=0,E517+F517,E517+F517+$K$4)</f>
        <v>-5.3229166666675425E-2</v>
      </c>
      <c r="E517" s="92">
        <f>IF(H517=0,0,G517*('Atsipirkimo vertinimas'!$N$19)/12)</f>
        <v>-1.083784722222231</v>
      </c>
      <c r="F517" s="92">
        <f>($G$4/('Atsipirkimo vertinimas'!$N$18*12-'Atsipirkimo vertinimas'!$N$20)*H517)</f>
        <v>0.97222222222222221</v>
      </c>
      <c r="G517" s="92">
        <f t="shared" si="51"/>
        <v>-265.41666666666879</v>
      </c>
      <c r="H517">
        <f>IF(C517-'Atsipirkimo vertinimas'!$N$20&lt;0,0,1)</f>
        <v>1</v>
      </c>
      <c r="I517" s="92"/>
      <c r="J517" s="92">
        <f t="shared" ref="J517:J580" si="55">IF(H517=0,G517*(0.03)/12,0)</f>
        <v>0</v>
      </c>
      <c r="K517" s="92"/>
      <c r="L517" s="88"/>
      <c r="N517" s="88">
        <v>513</v>
      </c>
      <c r="O517" s="92">
        <f t="shared" ref="O517:O580" si="56">IF(T517=0,0,($X$4+P517))</f>
        <v>5.8333333333333355E-2</v>
      </c>
      <c r="P517" s="92">
        <f>IF($Z$64&lt;S517+(S517*(('Atsipirkimo vertinimas'!$N$19)/12)),($Z$64*T517)+(Q517*U517),S517+(S517*(('Atsipirkimo vertinimas'!$N$19)/12)))</f>
        <v>0</v>
      </c>
      <c r="Q517" s="92">
        <f>IF(T517=0,0,S517*('Atsipirkimo vertinimas'!$N$19)/12)</f>
        <v>0</v>
      </c>
      <c r="R517" s="92">
        <f t="shared" si="52"/>
        <v>0</v>
      </c>
      <c r="S517" s="92">
        <f t="shared" si="53"/>
        <v>0</v>
      </c>
      <c r="T517">
        <f>IF(N517-'Atsipirkimo vertinimas'!$N$20&lt;0,0,1)</f>
        <v>1</v>
      </c>
      <c r="U517">
        <f>IF(N517-'Atsipirkimo vertinimas'!$N$20&gt;=0,0,1)</f>
        <v>0</v>
      </c>
      <c r="V517" s="92"/>
      <c r="W517" s="92"/>
      <c r="X517" s="88"/>
    </row>
    <row r="518" spans="3:24" x14ac:dyDescent="0.25">
      <c r="C518" s="88">
        <v>514</v>
      </c>
      <c r="D518" s="92">
        <f t="shared" si="54"/>
        <v>-5.7199074074082749E-2</v>
      </c>
      <c r="E518" s="92">
        <f>IF(H518=0,0,G518*('Atsipirkimo vertinimas'!$N$19)/12)</f>
        <v>-1.0877546296296383</v>
      </c>
      <c r="F518" s="92">
        <f>($G$4/('Atsipirkimo vertinimas'!$N$18*12-'Atsipirkimo vertinimas'!$N$20)*H518)</f>
        <v>0.97222222222222221</v>
      </c>
      <c r="G518" s="92">
        <f t="shared" ref="G518:G581" si="57">(G517-F517)</f>
        <v>-266.38888888889102</v>
      </c>
      <c r="H518">
        <f>IF(C518-'Atsipirkimo vertinimas'!$N$20&lt;0,0,1)</f>
        <v>1</v>
      </c>
      <c r="I518" s="92"/>
      <c r="J518" s="92">
        <f t="shared" si="55"/>
        <v>0</v>
      </c>
      <c r="K518" s="92"/>
      <c r="L518" s="91"/>
      <c r="N518" s="88">
        <v>514</v>
      </c>
      <c r="O518" s="92">
        <f t="shared" si="56"/>
        <v>5.8333333333333355E-2</v>
      </c>
      <c r="P518" s="92">
        <f>IF($Z$64&lt;S518+(S518*(('Atsipirkimo vertinimas'!$N$19)/12)),($Z$64*T518)+(Q518*U518),S518+(S518*(('Atsipirkimo vertinimas'!$N$19)/12)))</f>
        <v>0</v>
      </c>
      <c r="Q518" s="92">
        <f>IF(T518=0,0,S518*('Atsipirkimo vertinimas'!$N$19)/12)</f>
        <v>0</v>
      </c>
      <c r="R518" s="92">
        <f t="shared" ref="R518:R581" si="58">(P518-Q518)*T518</f>
        <v>0</v>
      </c>
      <c r="S518" s="92">
        <f t="shared" ref="S518:S581" si="59">(S517-R517)</f>
        <v>0</v>
      </c>
      <c r="T518">
        <f>IF(N518-'Atsipirkimo vertinimas'!$N$20&lt;0,0,1)</f>
        <v>1</v>
      </c>
      <c r="U518">
        <f>IF(N518-'Atsipirkimo vertinimas'!$N$20&gt;=0,0,1)</f>
        <v>0</v>
      </c>
      <c r="V518" s="92"/>
      <c r="W518" s="92"/>
      <c r="X518" s="91"/>
    </row>
    <row r="519" spans="3:24" x14ac:dyDescent="0.25">
      <c r="C519" s="88">
        <v>515</v>
      </c>
      <c r="D519" s="92">
        <f t="shared" si="54"/>
        <v>-6.1168981481490296E-2</v>
      </c>
      <c r="E519" s="92">
        <f>IF(H519=0,0,G519*('Atsipirkimo vertinimas'!$N$19)/12)</f>
        <v>-1.0917245370370459</v>
      </c>
      <c r="F519" s="92">
        <f>($G$4/('Atsipirkimo vertinimas'!$N$18*12-'Atsipirkimo vertinimas'!$N$20)*H519)</f>
        <v>0.97222222222222221</v>
      </c>
      <c r="G519" s="92">
        <f t="shared" si="57"/>
        <v>-267.36111111111325</v>
      </c>
      <c r="H519">
        <f>IF(C519-'Atsipirkimo vertinimas'!$N$20&lt;0,0,1)</f>
        <v>1</v>
      </c>
      <c r="I519" s="92"/>
      <c r="J519" s="92">
        <f t="shared" si="55"/>
        <v>0</v>
      </c>
      <c r="K519" s="92"/>
      <c r="L519" s="91">
        <f>IF('Atsipirkimo vertinimas'!$N$18*12&gt;Grafikas!C519,SUM(D508:D519),0)</f>
        <v>0</v>
      </c>
      <c r="N519" s="88">
        <v>515</v>
      </c>
      <c r="O519" s="92">
        <f t="shared" si="56"/>
        <v>5.8333333333333355E-2</v>
      </c>
      <c r="P519" s="92">
        <f>IF($Z$64&lt;S519+(S519*(('Atsipirkimo vertinimas'!$N$19)/12)),($Z$64*T519)+(Q519*U519),S519+(S519*(('Atsipirkimo vertinimas'!$N$19)/12)))</f>
        <v>0</v>
      </c>
      <c r="Q519" s="92">
        <f>IF(T519=0,0,S519*('Atsipirkimo vertinimas'!$N$19)/12)</f>
        <v>0</v>
      </c>
      <c r="R519" s="92">
        <f t="shared" si="58"/>
        <v>0</v>
      </c>
      <c r="S519" s="92">
        <f t="shared" si="59"/>
        <v>0</v>
      </c>
      <c r="T519">
        <f>IF(N519-'Atsipirkimo vertinimas'!$N$20&lt;0,0,1)</f>
        <v>1</v>
      </c>
      <c r="U519">
        <f>IF(N519-'Atsipirkimo vertinimas'!$N$20&gt;=0,0,1)</f>
        <v>0</v>
      </c>
      <c r="V519" s="92"/>
      <c r="W519" s="92"/>
      <c r="X519" s="91">
        <f>IF('Atsipirkimo vertinimas'!$N$18*12&gt;Grafikas!C519,SUM(O508:O519),0)</f>
        <v>0</v>
      </c>
    </row>
    <row r="520" spans="3:24" x14ac:dyDescent="0.25">
      <c r="C520" s="88">
        <v>516</v>
      </c>
      <c r="D520" s="92">
        <f t="shared" si="54"/>
        <v>-6.5138888888897628E-2</v>
      </c>
      <c r="E520" s="92">
        <f>IF(H520=0,0,G520*('Atsipirkimo vertinimas'!$N$19)/12)</f>
        <v>-1.0956944444444532</v>
      </c>
      <c r="F520" s="92">
        <f>($G$4/('Atsipirkimo vertinimas'!$N$18*12-'Atsipirkimo vertinimas'!$N$20)*H520)</f>
        <v>0.97222222222222221</v>
      </c>
      <c r="G520" s="92">
        <f t="shared" si="57"/>
        <v>-268.33333333333547</v>
      </c>
      <c r="H520">
        <f>IF(C520-'Atsipirkimo vertinimas'!$N$20&lt;0,0,1)</f>
        <v>1</v>
      </c>
      <c r="I520" s="92"/>
      <c r="J520" s="92">
        <f t="shared" si="55"/>
        <v>0</v>
      </c>
      <c r="K520" s="92"/>
      <c r="L520" s="88"/>
      <c r="N520" s="88">
        <v>516</v>
      </c>
      <c r="O520" s="92">
        <f t="shared" si="56"/>
        <v>5.8333333333333355E-2</v>
      </c>
      <c r="P520" s="92">
        <f>IF($Z$64&lt;S520+(S520*(('Atsipirkimo vertinimas'!$N$19)/12)),($Z$64*T520)+(Q520*U520),S520+(S520*(('Atsipirkimo vertinimas'!$N$19)/12)))</f>
        <v>0</v>
      </c>
      <c r="Q520" s="92">
        <f>IF(T520=0,0,S520*('Atsipirkimo vertinimas'!$N$19)/12)</f>
        <v>0</v>
      </c>
      <c r="R520" s="92">
        <f t="shared" si="58"/>
        <v>0</v>
      </c>
      <c r="S520" s="92">
        <f t="shared" si="59"/>
        <v>0</v>
      </c>
      <c r="T520">
        <f>IF(N520-'Atsipirkimo vertinimas'!$N$20&lt;0,0,1)</f>
        <v>1</v>
      </c>
      <c r="U520">
        <f>IF(N520-'Atsipirkimo vertinimas'!$N$20&gt;=0,0,1)</f>
        <v>0</v>
      </c>
      <c r="V520" s="92"/>
      <c r="W520" s="92"/>
      <c r="X520" s="88"/>
    </row>
    <row r="521" spans="3:24" x14ac:dyDescent="0.25">
      <c r="C521" s="88">
        <v>517</v>
      </c>
      <c r="D521" s="92">
        <f t="shared" si="54"/>
        <v>-6.9108796296305175E-2</v>
      </c>
      <c r="E521" s="92">
        <f>IF(H521=0,0,G521*('Atsipirkimo vertinimas'!$N$19)/12)</f>
        <v>-1.0996643518518607</v>
      </c>
      <c r="F521" s="92">
        <f>($G$4/('Atsipirkimo vertinimas'!$N$18*12-'Atsipirkimo vertinimas'!$N$20)*H521)</f>
        <v>0.97222222222222221</v>
      </c>
      <c r="G521" s="92">
        <f t="shared" si="57"/>
        <v>-269.3055555555577</v>
      </c>
      <c r="H521">
        <f>IF(C521-'Atsipirkimo vertinimas'!$N$20&lt;0,0,1)</f>
        <v>1</v>
      </c>
      <c r="I521" s="92"/>
      <c r="J521" s="92">
        <f t="shared" si="55"/>
        <v>0</v>
      </c>
      <c r="K521" s="92"/>
      <c r="L521" s="88"/>
      <c r="N521" s="88">
        <v>517</v>
      </c>
      <c r="O521" s="92">
        <f t="shared" si="56"/>
        <v>5.8333333333333355E-2</v>
      </c>
      <c r="P521" s="92">
        <f>IF($Z$64&lt;S521+(S521*(('Atsipirkimo vertinimas'!$N$19)/12)),($Z$64*T521)+(Q521*U521),S521+(S521*(('Atsipirkimo vertinimas'!$N$19)/12)))</f>
        <v>0</v>
      </c>
      <c r="Q521" s="92">
        <f>IF(T521=0,0,S521*('Atsipirkimo vertinimas'!$N$19)/12)</f>
        <v>0</v>
      </c>
      <c r="R521" s="92">
        <f t="shared" si="58"/>
        <v>0</v>
      </c>
      <c r="S521" s="92">
        <f t="shared" si="59"/>
        <v>0</v>
      </c>
      <c r="T521">
        <f>IF(N521-'Atsipirkimo vertinimas'!$N$20&lt;0,0,1)</f>
        <v>1</v>
      </c>
      <c r="U521">
        <f>IF(N521-'Atsipirkimo vertinimas'!$N$20&gt;=0,0,1)</f>
        <v>0</v>
      </c>
      <c r="V521" s="92"/>
      <c r="W521" s="92"/>
      <c r="X521" s="88"/>
    </row>
    <row r="522" spans="3:24" x14ac:dyDescent="0.25">
      <c r="C522" s="88">
        <v>518</v>
      </c>
      <c r="D522" s="92">
        <f t="shared" si="54"/>
        <v>-7.30787037037125E-2</v>
      </c>
      <c r="E522" s="92">
        <f>IF(H522=0,0,G522*('Atsipirkimo vertinimas'!$N$19)/12)</f>
        <v>-1.1036342592592681</v>
      </c>
      <c r="F522" s="92">
        <f>($G$4/('Atsipirkimo vertinimas'!$N$18*12-'Atsipirkimo vertinimas'!$N$20)*H522)</f>
        <v>0.97222222222222221</v>
      </c>
      <c r="G522" s="92">
        <f t="shared" si="57"/>
        <v>-270.27777777777993</v>
      </c>
      <c r="H522">
        <f>IF(C522-'Atsipirkimo vertinimas'!$N$20&lt;0,0,1)</f>
        <v>1</v>
      </c>
      <c r="I522" s="92"/>
      <c r="J522" s="92">
        <f t="shared" si="55"/>
        <v>0</v>
      </c>
      <c r="K522" s="92"/>
      <c r="L522" s="88"/>
      <c r="N522" s="88">
        <v>518</v>
      </c>
      <c r="O522" s="92">
        <f t="shared" si="56"/>
        <v>5.8333333333333355E-2</v>
      </c>
      <c r="P522" s="92">
        <f>IF($Z$64&lt;S522+(S522*(('Atsipirkimo vertinimas'!$N$19)/12)),($Z$64*T522)+(Q522*U522),S522+(S522*(('Atsipirkimo vertinimas'!$N$19)/12)))</f>
        <v>0</v>
      </c>
      <c r="Q522" s="92">
        <f>IF(T522=0,0,S522*('Atsipirkimo vertinimas'!$N$19)/12)</f>
        <v>0</v>
      </c>
      <c r="R522" s="92">
        <f t="shared" si="58"/>
        <v>0</v>
      </c>
      <c r="S522" s="92">
        <f t="shared" si="59"/>
        <v>0</v>
      </c>
      <c r="T522">
        <f>IF(N522-'Atsipirkimo vertinimas'!$N$20&lt;0,0,1)</f>
        <v>1</v>
      </c>
      <c r="U522">
        <f>IF(N522-'Atsipirkimo vertinimas'!$N$20&gt;=0,0,1)</f>
        <v>0</v>
      </c>
      <c r="V522" s="92"/>
      <c r="W522" s="92"/>
      <c r="X522" s="88"/>
    </row>
    <row r="523" spans="3:24" x14ac:dyDescent="0.25">
      <c r="C523" s="88">
        <v>519</v>
      </c>
      <c r="D523" s="92">
        <f t="shared" si="54"/>
        <v>-7.7048611111120047E-2</v>
      </c>
      <c r="E523" s="92">
        <f>IF(H523=0,0,G523*('Atsipirkimo vertinimas'!$N$19)/12)</f>
        <v>-1.1076041666666756</v>
      </c>
      <c r="F523" s="92">
        <f>($G$4/('Atsipirkimo vertinimas'!$N$18*12-'Atsipirkimo vertinimas'!$N$20)*H523)</f>
        <v>0.97222222222222221</v>
      </c>
      <c r="G523" s="92">
        <f t="shared" si="57"/>
        <v>-271.25000000000216</v>
      </c>
      <c r="H523">
        <f>IF(C523-'Atsipirkimo vertinimas'!$N$20&lt;0,0,1)</f>
        <v>1</v>
      </c>
      <c r="I523" s="92"/>
      <c r="J523" s="92">
        <f t="shared" si="55"/>
        <v>0</v>
      </c>
      <c r="K523" s="92"/>
      <c r="L523" s="88"/>
      <c r="N523" s="88">
        <v>519</v>
      </c>
      <c r="O523" s="92">
        <f t="shared" si="56"/>
        <v>5.8333333333333355E-2</v>
      </c>
      <c r="P523" s="92">
        <f>IF($Z$64&lt;S523+(S523*(('Atsipirkimo vertinimas'!$N$19)/12)),($Z$64*T523)+(Q523*U523),S523+(S523*(('Atsipirkimo vertinimas'!$N$19)/12)))</f>
        <v>0</v>
      </c>
      <c r="Q523" s="92">
        <f>IF(T523=0,0,S523*('Atsipirkimo vertinimas'!$N$19)/12)</f>
        <v>0</v>
      </c>
      <c r="R523" s="92">
        <f t="shared" si="58"/>
        <v>0</v>
      </c>
      <c r="S523" s="92">
        <f t="shared" si="59"/>
        <v>0</v>
      </c>
      <c r="T523">
        <f>IF(N523-'Atsipirkimo vertinimas'!$N$20&lt;0,0,1)</f>
        <v>1</v>
      </c>
      <c r="U523">
        <f>IF(N523-'Atsipirkimo vertinimas'!$N$20&gt;=0,0,1)</f>
        <v>0</v>
      </c>
      <c r="V523" s="92"/>
      <c r="W523" s="92"/>
      <c r="X523" s="88"/>
    </row>
    <row r="524" spans="3:24" x14ac:dyDescent="0.25">
      <c r="C524" s="88">
        <v>520</v>
      </c>
      <c r="D524" s="92">
        <f t="shared" si="54"/>
        <v>-8.1018518518527372E-2</v>
      </c>
      <c r="E524" s="92">
        <f>IF(H524=0,0,G524*('Atsipirkimo vertinimas'!$N$19)/12)</f>
        <v>-1.1115740740740829</v>
      </c>
      <c r="F524" s="92">
        <f>($G$4/('Atsipirkimo vertinimas'!$N$18*12-'Atsipirkimo vertinimas'!$N$20)*H524)</f>
        <v>0.97222222222222221</v>
      </c>
      <c r="G524" s="92">
        <f t="shared" si="57"/>
        <v>-272.22222222222439</v>
      </c>
      <c r="H524">
        <f>IF(C524-'Atsipirkimo vertinimas'!$N$20&lt;0,0,1)</f>
        <v>1</v>
      </c>
      <c r="I524" s="92"/>
      <c r="J524" s="92">
        <f t="shared" si="55"/>
        <v>0</v>
      </c>
      <c r="K524" s="92"/>
      <c r="L524" s="88"/>
      <c r="N524" s="88">
        <v>520</v>
      </c>
      <c r="O524" s="92">
        <f t="shared" si="56"/>
        <v>5.8333333333333355E-2</v>
      </c>
      <c r="P524" s="92">
        <f>IF($Z$64&lt;S524+(S524*(('Atsipirkimo vertinimas'!$N$19)/12)),($Z$64*T524)+(Q524*U524),S524+(S524*(('Atsipirkimo vertinimas'!$N$19)/12)))</f>
        <v>0</v>
      </c>
      <c r="Q524" s="92">
        <f>IF(T524=0,0,S524*('Atsipirkimo vertinimas'!$N$19)/12)</f>
        <v>0</v>
      </c>
      <c r="R524" s="92">
        <f t="shared" si="58"/>
        <v>0</v>
      </c>
      <c r="S524" s="92">
        <f t="shared" si="59"/>
        <v>0</v>
      </c>
      <c r="T524">
        <f>IF(N524-'Atsipirkimo vertinimas'!$N$20&lt;0,0,1)</f>
        <v>1</v>
      </c>
      <c r="U524">
        <f>IF(N524-'Atsipirkimo vertinimas'!$N$20&gt;=0,0,1)</f>
        <v>0</v>
      </c>
      <c r="V524" s="92"/>
      <c r="W524" s="92"/>
      <c r="X524" s="88"/>
    </row>
    <row r="525" spans="3:24" x14ac:dyDescent="0.25">
      <c r="C525" s="88">
        <v>521</v>
      </c>
      <c r="D525" s="92">
        <f t="shared" si="54"/>
        <v>-8.4988425925934696E-2</v>
      </c>
      <c r="E525" s="92">
        <f>IF(H525=0,0,G525*('Atsipirkimo vertinimas'!$N$19)/12)</f>
        <v>-1.1155439814814903</v>
      </c>
      <c r="F525" s="92">
        <f>($G$4/('Atsipirkimo vertinimas'!$N$18*12-'Atsipirkimo vertinimas'!$N$20)*H525)</f>
        <v>0.97222222222222221</v>
      </c>
      <c r="G525" s="92">
        <f t="shared" si="57"/>
        <v>-273.19444444444662</v>
      </c>
      <c r="H525">
        <f>IF(C525-'Atsipirkimo vertinimas'!$N$20&lt;0,0,1)</f>
        <v>1</v>
      </c>
      <c r="I525" s="92"/>
      <c r="J525" s="92">
        <f t="shared" si="55"/>
        <v>0</v>
      </c>
      <c r="K525" s="92"/>
      <c r="L525" s="88"/>
      <c r="N525" s="88">
        <v>521</v>
      </c>
      <c r="O525" s="92">
        <f t="shared" si="56"/>
        <v>5.8333333333333355E-2</v>
      </c>
      <c r="P525" s="92">
        <f>IF($Z$64&lt;S525+(S525*(('Atsipirkimo vertinimas'!$N$19)/12)),($Z$64*T525)+(Q525*U525),S525+(S525*(('Atsipirkimo vertinimas'!$N$19)/12)))</f>
        <v>0</v>
      </c>
      <c r="Q525" s="92">
        <f>IF(T525=0,0,S525*('Atsipirkimo vertinimas'!$N$19)/12)</f>
        <v>0</v>
      </c>
      <c r="R525" s="92">
        <f t="shared" si="58"/>
        <v>0</v>
      </c>
      <c r="S525" s="92">
        <f t="shared" si="59"/>
        <v>0</v>
      </c>
      <c r="T525">
        <f>IF(N525-'Atsipirkimo vertinimas'!$N$20&lt;0,0,1)</f>
        <v>1</v>
      </c>
      <c r="U525">
        <f>IF(N525-'Atsipirkimo vertinimas'!$N$20&gt;=0,0,1)</f>
        <v>0</v>
      </c>
      <c r="V525" s="92"/>
      <c r="W525" s="92"/>
      <c r="X525" s="88"/>
    </row>
    <row r="526" spans="3:24" x14ac:dyDescent="0.25">
      <c r="C526" s="88">
        <v>522</v>
      </c>
      <c r="D526" s="92">
        <f t="shared" si="54"/>
        <v>-8.8958333333342243E-2</v>
      </c>
      <c r="E526" s="92">
        <f>IF(H526=0,0,G526*('Atsipirkimo vertinimas'!$N$19)/12)</f>
        <v>-1.1195138888888978</v>
      </c>
      <c r="F526" s="92">
        <f>($G$4/('Atsipirkimo vertinimas'!$N$18*12-'Atsipirkimo vertinimas'!$N$20)*H526)</f>
        <v>0.97222222222222221</v>
      </c>
      <c r="G526" s="92">
        <f t="shared" si="57"/>
        <v>-274.16666666666885</v>
      </c>
      <c r="H526">
        <f>IF(C526-'Atsipirkimo vertinimas'!$N$20&lt;0,0,1)</f>
        <v>1</v>
      </c>
      <c r="I526" s="92"/>
      <c r="J526" s="92">
        <f t="shared" si="55"/>
        <v>0</v>
      </c>
      <c r="K526" s="92"/>
      <c r="L526" s="88"/>
      <c r="N526" s="88">
        <v>522</v>
      </c>
      <c r="O526" s="92">
        <f t="shared" si="56"/>
        <v>5.8333333333333355E-2</v>
      </c>
      <c r="P526" s="92">
        <f>IF($Z$64&lt;S526+(S526*(('Atsipirkimo vertinimas'!$N$19)/12)),($Z$64*T526)+(Q526*U526),S526+(S526*(('Atsipirkimo vertinimas'!$N$19)/12)))</f>
        <v>0</v>
      </c>
      <c r="Q526" s="92">
        <f>IF(T526=0,0,S526*('Atsipirkimo vertinimas'!$N$19)/12)</f>
        <v>0</v>
      </c>
      <c r="R526" s="92">
        <f t="shared" si="58"/>
        <v>0</v>
      </c>
      <c r="S526" s="92">
        <f t="shared" si="59"/>
        <v>0</v>
      </c>
      <c r="T526">
        <f>IF(N526-'Atsipirkimo vertinimas'!$N$20&lt;0,0,1)</f>
        <v>1</v>
      </c>
      <c r="U526">
        <f>IF(N526-'Atsipirkimo vertinimas'!$N$20&gt;=0,0,1)</f>
        <v>0</v>
      </c>
      <c r="V526" s="92"/>
      <c r="W526" s="92"/>
      <c r="X526" s="88"/>
    </row>
    <row r="527" spans="3:24" x14ac:dyDescent="0.25">
      <c r="C527" s="88">
        <v>523</v>
      </c>
      <c r="D527" s="92">
        <f t="shared" si="54"/>
        <v>-9.292824074074979E-2</v>
      </c>
      <c r="E527" s="92">
        <f>IF(H527=0,0,G527*('Atsipirkimo vertinimas'!$N$19)/12)</f>
        <v>-1.1234837962963053</v>
      </c>
      <c r="F527" s="92">
        <f>($G$4/('Atsipirkimo vertinimas'!$N$18*12-'Atsipirkimo vertinimas'!$N$20)*H527)</f>
        <v>0.97222222222222221</v>
      </c>
      <c r="G527" s="92">
        <f t="shared" si="57"/>
        <v>-275.13888888889107</v>
      </c>
      <c r="H527">
        <f>IF(C527-'Atsipirkimo vertinimas'!$N$20&lt;0,0,1)</f>
        <v>1</v>
      </c>
      <c r="I527" s="92"/>
      <c r="J527" s="92">
        <f t="shared" si="55"/>
        <v>0</v>
      </c>
      <c r="K527" s="92"/>
      <c r="L527" s="88"/>
      <c r="N527" s="88">
        <v>523</v>
      </c>
      <c r="O527" s="92">
        <f t="shared" si="56"/>
        <v>5.8333333333333355E-2</v>
      </c>
      <c r="P527" s="92">
        <f>IF($Z$64&lt;S527+(S527*(('Atsipirkimo vertinimas'!$N$19)/12)),($Z$64*T527)+(Q527*U527),S527+(S527*(('Atsipirkimo vertinimas'!$N$19)/12)))</f>
        <v>0</v>
      </c>
      <c r="Q527" s="92">
        <f>IF(T527=0,0,S527*('Atsipirkimo vertinimas'!$N$19)/12)</f>
        <v>0</v>
      </c>
      <c r="R527" s="92">
        <f t="shared" si="58"/>
        <v>0</v>
      </c>
      <c r="S527" s="92">
        <f t="shared" si="59"/>
        <v>0</v>
      </c>
      <c r="T527">
        <f>IF(N527-'Atsipirkimo vertinimas'!$N$20&lt;0,0,1)</f>
        <v>1</v>
      </c>
      <c r="U527">
        <f>IF(N527-'Atsipirkimo vertinimas'!$N$20&gt;=0,0,1)</f>
        <v>0</v>
      </c>
      <c r="V527" s="92"/>
      <c r="W527" s="92"/>
      <c r="X527" s="88"/>
    </row>
    <row r="528" spans="3:24" x14ac:dyDescent="0.25">
      <c r="C528" s="88">
        <v>524</v>
      </c>
      <c r="D528" s="92">
        <f t="shared" si="54"/>
        <v>-9.6898148148157115E-2</v>
      </c>
      <c r="E528" s="92">
        <f>IF(H528=0,0,G528*('Atsipirkimo vertinimas'!$N$19)/12)</f>
        <v>-1.1274537037037127</v>
      </c>
      <c r="F528" s="92">
        <f>($G$4/('Atsipirkimo vertinimas'!$N$18*12-'Atsipirkimo vertinimas'!$N$20)*H528)</f>
        <v>0.97222222222222221</v>
      </c>
      <c r="G528" s="92">
        <f t="shared" si="57"/>
        <v>-276.1111111111133</v>
      </c>
      <c r="H528">
        <f>IF(C528-'Atsipirkimo vertinimas'!$N$20&lt;0,0,1)</f>
        <v>1</v>
      </c>
      <c r="I528" s="92"/>
      <c r="J528" s="92">
        <f t="shared" si="55"/>
        <v>0</v>
      </c>
      <c r="K528" s="92"/>
      <c r="L528" s="88"/>
      <c r="N528" s="88">
        <v>524</v>
      </c>
      <c r="O528" s="92">
        <f t="shared" si="56"/>
        <v>5.8333333333333355E-2</v>
      </c>
      <c r="P528" s="92">
        <f>IF($Z$64&lt;S528+(S528*(('Atsipirkimo vertinimas'!$N$19)/12)),($Z$64*T528)+(Q528*U528),S528+(S528*(('Atsipirkimo vertinimas'!$N$19)/12)))</f>
        <v>0</v>
      </c>
      <c r="Q528" s="92">
        <f>IF(T528=0,0,S528*('Atsipirkimo vertinimas'!$N$19)/12)</f>
        <v>0</v>
      </c>
      <c r="R528" s="92">
        <f t="shared" si="58"/>
        <v>0</v>
      </c>
      <c r="S528" s="92">
        <f t="shared" si="59"/>
        <v>0</v>
      </c>
      <c r="T528">
        <f>IF(N528-'Atsipirkimo vertinimas'!$N$20&lt;0,0,1)</f>
        <v>1</v>
      </c>
      <c r="U528">
        <f>IF(N528-'Atsipirkimo vertinimas'!$N$20&gt;=0,0,1)</f>
        <v>0</v>
      </c>
      <c r="V528" s="92"/>
      <c r="W528" s="92"/>
      <c r="X528" s="88"/>
    </row>
    <row r="529" spans="3:24" x14ac:dyDescent="0.25">
      <c r="C529" s="88">
        <v>525</v>
      </c>
      <c r="D529" s="92">
        <f t="shared" si="54"/>
        <v>-0.10086805555556444</v>
      </c>
      <c r="E529" s="92">
        <f>IF(H529=0,0,G529*('Atsipirkimo vertinimas'!$N$19)/12)</f>
        <v>-1.13142361111112</v>
      </c>
      <c r="F529" s="92">
        <f>($G$4/('Atsipirkimo vertinimas'!$N$18*12-'Atsipirkimo vertinimas'!$N$20)*H529)</f>
        <v>0.97222222222222221</v>
      </c>
      <c r="G529" s="92">
        <f t="shared" si="57"/>
        <v>-277.08333333333553</v>
      </c>
      <c r="H529">
        <f>IF(C529-'Atsipirkimo vertinimas'!$N$20&lt;0,0,1)</f>
        <v>1</v>
      </c>
      <c r="I529" s="92"/>
      <c r="J529" s="92">
        <f t="shared" si="55"/>
        <v>0</v>
      </c>
      <c r="K529" s="92"/>
      <c r="L529" s="88"/>
      <c r="N529" s="88">
        <v>525</v>
      </c>
      <c r="O529" s="92">
        <f t="shared" si="56"/>
        <v>5.8333333333333355E-2</v>
      </c>
      <c r="P529" s="92">
        <f>IF($Z$64&lt;S529+(S529*(('Atsipirkimo vertinimas'!$N$19)/12)),($Z$64*T529)+(Q529*U529),S529+(S529*(('Atsipirkimo vertinimas'!$N$19)/12)))</f>
        <v>0</v>
      </c>
      <c r="Q529" s="92">
        <f>IF(T529=0,0,S529*('Atsipirkimo vertinimas'!$N$19)/12)</f>
        <v>0</v>
      </c>
      <c r="R529" s="92">
        <f t="shared" si="58"/>
        <v>0</v>
      </c>
      <c r="S529" s="92">
        <f t="shared" si="59"/>
        <v>0</v>
      </c>
      <c r="T529">
        <f>IF(N529-'Atsipirkimo vertinimas'!$N$20&lt;0,0,1)</f>
        <v>1</v>
      </c>
      <c r="U529">
        <f>IF(N529-'Atsipirkimo vertinimas'!$N$20&gt;=0,0,1)</f>
        <v>0</v>
      </c>
      <c r="V529" s="92"/>
      <c r="W529" s="92"/>
      <c r="X529" s="88"/>
    </row>
    <row r="530" spans="3:24" x14ac:dyDescent="0.25">
      <c r="C530" s="88">
        <v>526</v>
      </c>
      <c r="D530" s="92">
        <f t="shared" si="54"/>
        <v>-0.10483796296297199</v>
      </c>
      <c r="E530" s="92">
        <f>IF(H530=0,0,G530*('Atsipirkimo vertinimas'!$N$19)/12)</f>
        <v>-1.1353935185185275</v>
      </c>
      <c r="F530" s="92">
        <f>($G$4/('Atsipirkimo vertinimas'!$N$18*12-'Atsipirkimo vertinimas'!$N$20)*H530)</f>
        <v>0.97222222222222221</v>
      </c>
      <c r="G530" s="92">
        <f t="shared" si="57"/>
        <v>-278.05555555555776</v>
      </c>
      <c r="H530">
        <f>IF(C530-'Atsipirkimo vertinimas'!$N$20&lt;0,0,1)</f>
        <v>1</v>
      </c>
      <c r="I530" s="92"/>
      <c r="J530" s="92">
        <f t="shared" si="55"/>
        <v>0</v>
      </c>
      <c r="K530" s="92"/>
      <c r="L530" s="88"/>
      <c r="N530" s="88">
        <v>526</v>
      </c>
      <c r="O530" s="92">
        <f t="shared" si="56"/>
        <v>5.8333333333333355E-2</v>
      </c>
      <c r="P530" s="92">
        <f>IF($Z$64&lt;S530+(S530*(('Atsipirkimo vertinimas'!$N$19)/12)),($Z$64*T530)+(Q530*U530),S530+(S530*(('Atsipirkimo vertinimas'!$N$19)/12)))</f>
        <v>0</v>
      </c>
      <c r="Q530" s="92">
        <f>IF(T530=0,0,S530*('Atsipirkimo vertinimas'!$N$19)/12)</f>
        <v>0</v>
      </c>
      <c r="R530" s="92">
        <f t="shared" si="58"/>
        <v>0</v>
      </c>
      <c r="S530" s="92">
        <f t="shared" si="59"/>
        <v>0</v>
      </c>
      <c r="T530">
        <f>IF(N530-'Atsipirkimo vertinimas'!$N$20&lt;0,0,1)</f>
        <v>1</v>
      </c>
      <c r="U530">
        <f>IF(N530-'Atsipirkimo vertinimas'!$N$20&gt;=0,0,1)</f>
        <v>0</v>
      </c>
      <c r="V530" s="92"/>
      <c r="W530" s="92"/>
      <c r="X530" s="88"/>
    </row>
    <row r="531" spans="3:24" x14ac:dyDescent="0.25">
      <c r="C531" s="88">
        <v>527</v>
      </c>
      <c r="D531" s="92">
        <f t="shared" si="54"/>
        <v>-0.10880787037037953</v>
      </c>
      <c r="E531" s="92">
        <f>IF(H531=0,0,G531*('Atsipirkimo vertinimas'!$N$19)/12)</f>
        <v>-1.1393634259259351</v>
      </c>
      <c r="F531" s="92">
        <f>($G$4/('Atsipirkimo vertinimas'!$N$18*12-'Atsipirkimo vertinimas'!$N$20)*H531)</f>
        <v>0.97222222222222221</v>
      </c>
      <c r="G531" s="92">
        <f t="shared" si="57"/>
        <v>-279.02777777777999</v>
      </c>
      <c r="H531">
        <f>IF(C531-'Atsipirkimo vertinimas'!$N$20&lt;0,0,1)</f>
        <v>1</v>
      </c>
      <c r="I531" s="92"/>
      <c r="J531" s="92">
        <f t="shared" si="55"/>
        <v>0</v>
      </c>
      <c r="K531" s="92"/>
      <c r="L531" s="91">
        <f>IF('Atsipirkimo vertinimas'!$N$18*12&gt;Grafikas!C531,SUM(D520:D531),0)</f>
        <v>0</v>
      </c>
      <c r="N531" s="88">
        <v>527</v>
      </c>
      <c r="O531" s="92">
        <f t="shared" si="56"/>
        <v>5.8333333333333355E-2</v>
      </c>
      <c r="P531" s="92">
        <f>IF($Z$64&lt;S531+(S531*(('Atsipirkimo vertinimas'!$N$19)/12)),($Z$64*T531)+(Q531*U531),S531+(S531*(('Atsipirkimo vertinimas'!$N$19)/12)))</f>
        <v>0</v>
      </c>
      <c r="Q531" s="92">
        <f>IF(T531=0,0,S531*('Atsipirkimo vertinimas'!$N$19)/12)</f>
        <v>0</v>
      </c>
      <c r="R531" s="92">
        <f t="shared" si="58"/>
        <v>0</v>
      </c>
      <c r="S531" s="92">
        <f t="shared" si="59"/>
        <v>0</v>
      </c>
      <c r="T531">
        <f>IF(N531-'Atsipirkimo vertinimas'!$N$20&lt;0,0,1)</f>
        <v>1</v>
      </c>
      <c r="U531">
        <f>IF(N531-'Atsipirkimo vertinimas'!$N$20&gt;=0,0,1)</f>
        <v>0</v>
      </c>
      <c r="V531" s="92"/>
      <c r="W531" s="92"/>
      <c r="X531" s="91">
        <f>IF('Atsipirkimo vertinimas'!$N$18*12&gt;Grafikas!C531,SUM(O520:O531),0)</f>
        <v>0</v>
      </c>
    </row>
    <row r="532" spans="3:24" x14ac:dyDescent="0.25">
      <c r="C532" s="88">
        <v>528</v>
      </c>
      <c r="D532" s="92">
        <f t="shared" si="54"/>
        <v>-0.11277777777778686</v>
      </c>
      <c r="E532" s="92">
        <f>IF(H532=0,0,G532*('Atsipirkimo vertinimas'!$N$19)/12)</f>
        <v>-1.1433333333333424</v>
      </c>
      <c r="F532" s="92">
        <f>($G$4/('Atsipirkimo vertinimas'!$N$18*12-'Atsipirkimo vertinimas'!$N$20)*H532)</f>
        <v>0.97222222222222221</v>
      </c>
      <c r="G532" s="92">
        <f t="shared" si="57"/>
        <v>-280.00000000000222</v>
      </c>
      <c r="H532">
        <f>IF(C532-'Atsipirkimo vertinimas'!$N$20&lt;0,0,1)</f>
        <v>1</v>
      </c>
      <c r="I532" s="92"/>
      <c r="J532" s="92">
        <f t="shared" si="55"/>
        <v>0</v>
      </c>
      <c r="K532" s="92"/>
      <c r="L532" s="88"/>
      <c r="N532" s="88">
        <v>528</v>
      </c>
      <c r="O532" s="92">
        <f t="shared" si="56"/>
        <v>5.8333333333333355E-2</v>
      </c>
      <c r="P532" s="92">
        <f>IF($Z$64&lt;S532+(S532*(('Atsipirkimo vertinimas'!$N$19)/12)),($Z$64*T532)+(Q532*U532),S532+(S532*(('Atsipirkimo vertinimas'!$N$19)/12)))</f>
        <v>0</v>
      </c>
      <c r="Q532" s="92">
        <f>IF(T532=0,0,S532*('Atsipirkimo vertinimas'!$N$19)/12)</f>
        <v>0</v>
      </c>
      <c r="R532" s="92">
        <f t="shared" si="58"/>
        <v>0</v>
      </c>
      <c r="S532" s="92">
        <f t="shared" si="59"/>
        <v>0</v>
      </c>
      <c r="T532">
        <f>IF(N532-'Atsipirkimo vertinimas'!$N$20&lt;0,0,1)</f>
        <v>1</v>
      </c>
      <c r="U532">
        <f>IF(N532-'Atsipirkimo vertinimas'!$N$20&gt;=0,0,1)</f>
        <v>0</v>
      </c>
      <c r="V532" s="92"/>
      <c r="W532" s="92"/>
      <c r="X532" s="88"/>
    </row>
    <row r="533" spans="3:24" x14ac:dyDescent="0.25">
      <c r="C533" s="88">
        <v>529</v>
      </c>
      <c r="D533" s="92">
        <f t="shared" si="54"/>
        <v>-0.11674768518519418</v>
      </c>
      <c r="E533" s="92">
        <f>IF(H533=0,0,G533*('Atsipirkimo vertinimas'!$N$19)/12)</f>
        <v>-1.1473032407407497</v>
      </c>
      <c r="F533" s="92">
        <f>($G$4/('Atsipirkimo vertinimas'!$N$18*12-'Atsipirkimo vertinimas'!$N$20)*H533)</f>
        <v>0.97222222222222221</v>
      </c>
      <c r="G533" s="92">
        <f t="shared" si="57"/>
        <v>-280.97222222222445</v>
      </c>
      <c r="H533">
        <f>IF(C533-'Atsipirkimo vertinimas'!$N$20&lt;0,0,1)</f>
        <v>1</v>
      </c>
      <c r="I533" s="92"/>
      <c r="J533" s="92">
        <f t="shared" si="55"/>
        <v>0</v>
      </c>
      <c r="K533" s="92"/>
      <c r="L533" s="88"/>
      <c r="N533" s="88">
        <v>529</v>
      </c>
      <c r="O533" s="92">
        <f t="shared" si="56"/>
        <v>5.8333333333333355E-2</v>
      </c>
      <c r="P533" s="92">
        <f>IF($Z$64&lt;S533+(S533*(('Atsipirkimo vertinimas'!$N$19)/12)),($Z$64*T533)+(Q533*U533),S533+(S533*(('Atsipirkimo vertinimas'!$N$19)/12)))</f>
        <v>0</v>
      </c>
      <c r="Q533" s="92">
        <f>IF(T533=0,0,S533*('Atsipirkimo vertinimas'!$N$19)/12)</f>
        <v>0</v>
      </c>
      <c r="R533" s="92">
        <f t="shared" si="58"/>
        <v>0</v>
      </c>
      <c r="S533" s="92">
        <f t="shared" si="59"/>
        <v>0</v>
      </c>
      <c r="T533">
        <f>IF(N533-'Atsipirkimo vertinimas'!$N$20&lt;0,0,1)</f>
        <v>1</v>
      </c>
      <c r="U533">
        <f>IF(N533-'Atsipirkimo vertinimas'!$N$20&gt;=0,0,1)</f>
        <v>0</v>
      </c>
      <c r="V533" s="92"/>
      <c r="W533" s="92"/>
      <c r="X533" s="88"/>
    </row>
    <row r="534" spans="3:24" x14ac:dyDescent="0.25">
      <c r="C534" s="88">
        <v>530</v>
      </c>
      <c r="D534" s="92">
        <f t="shared" si="54"/>
        <v>-0.12071759259260173</v>
      </c>
      <c r="E534" s="92">
        <f>IF(H534=0,0,G534*('Atsipirkimo vertinimas'!$N$19)/12)</f>
        <v>-1.1512731481481573</v>
      </c>
      <c r="F534" s="92">
        <f>($G$4/('Atsipirkimo vertinimas'!$N$18*12-'Atsipirkimo vertinimas'!$N$20)*H534)</f>
        <v>0.97222222222222221</v>
      </c>
      <c r="G534" s="92">
        <f t="shared" si="57"/>
        <v>-281.94444444444667</v>
      </c>
      <c r="H534">
        <f>IF(C534-'Atsipirkimo vertinimas'!$N$20&lt;0,0,1)</f>
        <v>1</v>
      </c>
      <c r="I534" s="92"/>
      <c r="J534" s="92">
        <f t="shared" si="55"/>
        <v>0</v>
      </c>
      <c r="K534" s="92"/>
      <c r="L534" s="88"/>
      <c r="N534" s="88">
        <v>530</v>
      </c>
      <c r="O534" s="92">
        <f t="shared" si="56"/>
        <v>5.8333333333333355E-2</v>
      </c>
      <c r="P534" s="92">
        <f>IF($Z$64&lt;S534+(S534*(('Atsipirkimo vertinimas'!$N$19)/12)),($Z$64*T534)+(Q534*U534),S534+(S534*(('Atsipirkimo vertinimas'!$N$19)/12)))</f>
        <v>0</v>
      </c>
      <c r="Q534" s="92">
        <f>IF(T534=0,0,S534*('Atsipirkimo vertinimas'!$N$19)/12)</f>
        <v>0</v>
      </c>
      <c r="R534" s="92">
        <f t="shared" si="58"/>
        <v>0</v>
      </c>
      <c r="S534" s="92">
        <f t="shared" si="59"/>
        <v>0</v>
      </c>
      <c r="T534">
        <f>IF(N534-'Atsipirkimo vertinimas'!$N$20&lt;0,0,1)</f>
        <v>1</v>
      </c>
      <c r="U534">
        <f>IF(N534-'Atsipirkimo vertinimas'!$N$20&gt;=0,0,1)</f>
        <v>0</v>
      </c>
      <c r="V534" s="92"/>
      <c r="W534" s="92"/>
      <c r="X534" s="88"/>
    </row>
    <row r="535" spans="3:24" x14ac:dyDescent="0.25">
      <c r="C535" s="88">
        <v>531</v>
      </c>
      <c r="D535" s="92">
        <f t="shared" si="54"/>
        <v>-0.12468750000000928</v>
      </c>
      <c r="E535" s="92">
        <f>IF(H535=0,0,G535*('Atsipirkimo vertinimas'!$N$19)/12)</f>
        <v>-1.1552430555555648</v>
      </c>
      <c r="F535" s="92">
        <f>($G$4/('Atsipirkimo vertinimas'!$N$18*12-'Atsipirkimo vertinimas'!$N$20)*H535)</f>
        <v>0.97222222222222221</v>
      </c>
      <c r="G535" s="92">
        <f t="shared" si="57"/>
        <v>-282.9166666666689</v>
      </c>
      <c r="H535">
        <f>IF(C535-'Atsipirkimo vertinimas'!$N$20&lt;0,0,1)</f>
        <v>1</v>
      </c>
      <c r="I535" s="92"/>
      <c r="J535" s="92">
        <f t="shared" si="55"/>
        <v>0</v>
      </c>
      <c r="K535" s="92"/>
      <c r="L535" s="88"/>
      <c r="N535" s="88">
        <v>531</v>
      </c>
      <c r="O535" s="92">
        <f t="shared" si="56"/>
        <v>5.8333333333333355E-2</v>
      </c>
      <c r="P535" s="92">
        <f>IF($Z$64&lt;S535+(S535*(('Atsipirkimo vertinimas'!$N$19)/12)),($Z$64*T535)+(Q535*U535),S535+(S535*(('Atsipirkimo vertinimas'!$N$19)/12)))</f>
        <v>0</v>
      </c>
      <c r="Q535" s="92">
        <f>IF(T535=0,0,S535*('Atsipirkimo vertinimas'!$N$19)/12)</f>
        <v>0</v>
      </c>
      <c r="R535" s="92">
        <f t="shared" si="58"/>
        <v>0</v>
      </c>
      <c r="S535" s="92">
        <f t="shared" si="59"/>
        <v>0</v>
      </c>
      <c r="T535">
        <f>IF(N535-'Atsipirkimo vertinimas'!$N$20&lt;0,0,1)</f>
        <v>1</v>
      </c>
      <c r="U535">
        <f>IF(N535-'Atsipirkimo vertinimas'!$N$20&gt;=0,0,1)</f>
        <v>0</v>
      </c>
      <c r="V535" s="92"/>
      <c r="W535" s="92"/>
      <c r="X535" s="88"/>
    </row>
    <row r="536" spans="3:24" x14ac:dyDescent="0.25">
      <c r="C536" s="88">
        <v>532</v>
      </c>
      <c r="D536" s="92">
        <f t="shared" si="54"/>
        <v>-0.1286574074074166</v>
      </c>
      <c r="E536" s="92">
        <f>IF(H536=0,0,G536*('Atsipirkimo vertinimas'!$N$19)/12)</f>
        <v>-1.1592129629629722</v>
      </c>
      <c r="F536" s="92">
        <f>($G$4/('Atsipirkimo vertinimas'!$N$18*12-'Atsipirkimo vertinimas'!$N$20)*H536)</f>
        <v>0.97222222222222221</v>
      </c>
      <c r="G536" s="92">
        <f t="shared" si="57"/>
        <v>-283.88888888889113</v>
      </c>
      <c r="H536">
        <f>IF(C536-'Atsipirkimo vertinimas'!$N$20&lt;0,0,1)</f>
        <v>1</v>
      </c>
      <c r="I536" s="92"/>
      <c r="J536" s="92">
        <f t="shared" si="55"/>
        <v>0</v>
      </c>
      <c r="K536" s="92"/>
      <c r="L536" s="88"/>
      <c r="N536" s="88">
        <v>532</v>
      </c>
      <c r="O536" s="92">
        <f t="shared" si="56"/>
        <v>5.8333333333333355E-2</v>
      </c>
      <c r="P536" s="92">
        <f>IF($Z$64&lt;S536+(S536*(('Atsipirkimo vertinimas'!$N$19)/12)),($Z$64*T536)+(Q536*U536),S536+(S536*(('Atsipirkimo vertinimas'!$N$19)/12)))</f>
        <v>0</v>
      </c>
      <c r="Q536" s="92">
        <f>IF(T536=0,0,S536*('Atsipirkimo vertinimas'!$N$19)/12)</f>
        <v>0</v>
      </c>
      <c r="R536" s="92">
        <f t="shared" si="58"/>
        <v>0</v>
      </c>
      <c r="S536" s="92">
        <f t="shared" si="59"/>
        <v>0</v>
      </c>
      <c r="T536">
        <f>IF(N536-'Atsipirkimo vertinimas'!$N$20&lt;0,0,1)</f>
        <v>1</v>
      </c>
      <c r="U536">
        <f>IF(N536-'Atsipirkimo vertinimas'!$N$20&gt;=0,0,1)</f>
        <v>0</v>
      </c>
      <c r="V536" s="92"/>
      <c r="W536" s="92"/>
      <c r="X536" s="88"/>
    </row>
    <row r="537" spans="3:24" x14ac:dyDescent="0.25">
      <c r="C537" s="88">
        <v>533</v>
      </c>
      <c r="D537" s="92">
        <f t="shared" si="54"/>
        <v>-0.13262731481482393</v>
      </c>
      <c r="E537" s="92">
        <f>IF(H537=0,0,G537*('Atsipirkimo vertinimas'!$N$19)/12)</f>
        <v>-1.1631828703703795</v>
      </c>
      <c r="F537" s="92">
        <f>($G$4/('Atsipirkimo vertinimas'!$N$18*12-'Atsipirkimo vertinimas'!$N$20)*H537)</f>
        <v>0.97222222222222221</v>
      </c>
      <c r="G537" s="92">
        <f t="shared" si="57"/>
        <v>-284.86111111111336</v>
      </c>
      <c r="H537">
        <f>IF(C537-'Atsipirkimo vertinimas'!$N$20&lt;0,0,1)</f>
        <v>1</v>
      </c>
      <c r="I537" s="92"/>
      <c r="J537" s="92">
        <f t="shared" si="55"/>
        <v>0</v>
      </c>
      <c r="K537" s="92"/>
      <c r="L537" s="88"/>
      <c r="N537" s="88">
        <v>533</v>
      </c>
      <c r="O537" s="92">
        <f t="shared" si="56"/>
        <v>5.8333333333333355E-2</v>
      </c>
      <c r="P537" s="92">
        <f>IF($Z$64&lt;S537+(S537*(('Atsipirkimo vertinimas'!$N$19)/12)),($Z$64*T537)+(Q537*U537),S537+(S537*(('Atsipirkimo vertinimas'!$N$19)/12)))</f>
        <v>0</v>
      </c>
      <c r="Q537" s="92">
        <f>IF(T537=0,0,S537*('Atsipirkimo vertinimas'!$N$19)/12)</f>
        <v>0</v>
      </c>
      <c r="R537" s="92">
        <f t="shared" si="58"/>
        <v>0</v>
      </c>
      <c r="S537" s="92">
        <f t="shared" si="59"/>
        <v>0</v>
      </c>
      <c r="T537">
        <f>IF(N537-'Atsipirkimo vertinimas'!$N$20&lt;0,0,1)</f>
        <v>1</v>
      </c>
      <c r="U537">
        <f>IF(N537-'Atsipirkimo vertinimas'!$N$20&gt;=0,0,1)</f>
        <v>0</v>
      </c>
      <c r="V537" s="92"/>
      <c r="W537" s="92"/>
      <c r="X537" s="88"/>
    </row>
    <row r="538" spans="3:24" x14ac:dyDescent="0.25">
      <c r="C538" s="88">
        <v>534</v>
      </c>
      <c r="D538" s="92">
        <f t="shared" si="54"/>
        <v>-0.13659722222223147</v>
      </c>
      <c r="E538" s="92">
        <f>IF(H538=0,0,G538*('Atsipirkimo vertinimas'!$N$19)/12)</f>
        <v>-1.167152777777787</v>
      </c>
      <c r="F538" s="92">
        <f>($G$4/('Atsipirkimo vertinimas'!$N$18*12-'Atsipirkimo vertinimas'!$N$20)*H538)</f>
        <v>0.97222222222222221</v>
      </c>
      <c r="G538" s="92">
        <f t="shared" si="57"/>
        <v>-285.83333333333559</v>
      </c>
      <c r="H538">
        <f>IF(C538-'Atsipirkimo vertinimas'!$N$20&lt;0,0,1)</f>
        <v>1</v>
      </c>
      <c r="I538" s="92"/>
      <c r="J538" s="92">
        <f t="shared" si="55"/>
        <v>0</v>
      </c>
      <c r="K538" s="92"/>
      <c r="L538" s="88"/>
      <c r="N538" s="88">
        <v>534</v>
      </c>
      <c r="O538" s="92">
        <f t="shared" si="56"/>
        <v>5.8333333333333355E-2</v>
      </c>
      <c r="P538" s="92">
        <f>IF($Z$64&lt;S538+(S538*(('Atsipirkimo vertinimas'!$N$19)/12)),($Z$64*T538)+(Q538*U538),S538+(S538*(('Atsipirkimo vertinimas'!$N$19)/12)))</f>
        <v>0</v>
      </c>
      <c r="Q538" s="92">
        <f>IF(T538=0,0,S538*('Atsipirkimo vertinimas'!$N$19)/12)</f>
        <v>0</v>
      </c>
      <c r="R538" s="92">
        <f t="shared" si="58"/>
        <v>0</v>
      </c>
      <c r="S538" s="92">
        <f t="shared" si="59"/>
        <v>0</v>
      </c>
      <c r="T538">
        <f>IF(N538-'Atsipirkimo vertinimas'!$N$20&lt;0,0,1)</f>
        <v>1</v>
      </c>
      <c r="U538">
        <f>IF(N538-'Atsipirkimo vertinimas'!$N$20&gt;=0,0,1)</f>
        <v>0</v>
      </c>
      <c r="V538" s="92"/>
      <c r="W538" s="92"/>
      <c r="X538" s="88"/>
    </row>
    <row r="539" spans="3:24" x14ac:dyDescent="0.25">
      <c r="C539" s="88">
        <v>535</v>
      </c>
      <c r="D539" s="92">
        <f t="shared" si="54"/>
        <v>-0.14056712962963902</v>
      </c>
      <c r="E539" s="92">
        <f>IF(H539=0,0,G539*('Atsipirkimo vertinimas'!$N$19)/12)</f>
        <v>-1.1711226851851946</v>
      </c>
      <c r="F539" s="92">
        <f>($G$4/('Atsipirkimo vertinimas'!$N$18*12-'Atsipirkimo vertinimas'!$N$20)*H539)</f>
        <v>0.97222222222222221</v>
      </c>
      <c r="G539" s="92">
        <f t="shared" si="57"/>
        <v>-286.80555555555782</v>
      </c>
      <c r="H539">
        <f>IF(C539-'Atsipirkimo vertinimas'!$N$20&lt;0,0,1)</f>
        <v>1</v>
      </c>
      <c r="I539" s="92"/>
      <c r="J539" s="92">
        <f t="shared" si="55"/>
        <v>0</v>
      </c>
      <c r="K539" s="92"/>
      <c r="L539" s="88"/>
      <c r="N539" s="88">
        <v>535</v>
      </c>
      <c r="O539" s="92">
        <f t="shared" si="56"/>
        <v>5.8333333333333355E-2</v>
      </c>
      <c r="P539" s="92">
        <f>IF($Z$64&lt;S539+(S539*(('Atsipirkimo vertinimas'!$N$19)/12)),($Z$64*T539)+(Q539*U539),S539+(S539*(('Atsipirkimo vertinimas'!$N$19)/12)))</f>
        <v>0</v>
      </c>
      <c r="Q539" s="92">
        <f>IF(T539=0,0,S539*('Atsipirkimo vertinimas'!$N$19)/12)</f>
        <v>0</v>
      </c>
      <c r="R539" s="92">
        <f t="shared" si="58"/>
        <v>0</v>
      </c>
      <c r="S539" s="92">
        <f t="shared" si="59"/>
        <v>0</v>
      </c>
      <c r="T539">
        <f>IF(N539-'Atsipirkimo vertinimas'!$N$20&lt;0,0,1)</f>
        <v>1</v>
      </c>
      <c r="U539">
        <f>IF(N539-'Atsipirkimo vertinimas'!$N$20&gt;=0,0,1)</f>
        <v>0</v>
      </c>
      <c r="V539" s="92"/>
      <c r="W539" s="92"/>
      <c r="X539" s="88"/>
    </row>
    <row r="540" spans="3:24" x14ac:dyDescent="0.25">
      <c r="C540" s="88">
        <v>536</v>
      </c>
      <c r="D540" s="92">
        <f t="shared" si="54"/>
        <v>-0.14453703703704635</v>
      </c>
      <c r="E540" s="92">
        <f>IF(H540=0,0,G540*('Atsipirkimo vertinimas'!$N$19)/12)</f>
        <v>-1.1750925925926019</v>
      </c>
      <c r="F540" s="92">
        <f>($G$4/('Atsipirkimo vertinimas'!$N$18*12-'Atsipirkimo vertinimas'!$N$20)*H540)</f>
        <v>0.97222222222222221</v>
      </c>
      <c r="G540" s="92">
        <f t="shared" si="57"/>
        <v>-287.77777777778005</v>
      </c>
      <c r="H540">
        <f>IF(C540-'Atsipirkimo vertinimas'!$N$20&lt;0,0,1)</f>
        <v>1</v>
      </c>
      <c r="I540" s="92"/>
      <c r="J540" s="92">
        <f t="shared" si="55"/>
        <v>0</v>
      </c>
      <c r="K540" s="92"/>
      <c r="L540" s="88"/>
      <c r="N540" s="88">
        <v>536</v>
      </c>
      <c r="O540" s="92">
        <f t="shared" si="56"/>
        <v>5.8333333333333355E-2</v>
      </c>
      <c r="P540" s="92">
        <f>IF($Z$64&lt;S540+(S540*(('Atsipirkimo vertinimas'!$N$19)/12)),($Z$64*T540)+(Q540*U540),S540+(S540*(('Atsipirkimo vertinimas'!$N$19)/12)))</f>
        <v>0</v>
      </c>
      <c r="Q540" s="92">
        <f>IF(T540=0,0,S540*('Atsipirkimo vertinimas'!$N$19)/12)</f>
        <v>0</v>
      </c>
      <c r="R540" s="92">
        <f t="shared" si="58"/>
        <v>0</v>
      </c>
      <c r="S540" s="92">
        <f t="shared" si="59"/>
        <v>0</v>
      </c>
      <c r="T540">
        <f>IF(N540-'Atsipirkimo vertinimas'!$N$20&lt;0,0,1)</f>
        <v>1</v>
      </c>
      <c r="U540">
        <f>IF(N540-'Atsipirkimo vertinimas'!$N$20&gt;=0,0,1)</f>
        <v>0</v>
      </c>
      <c r="V540" s="92"/>
      <c r="W540" s="92"/>
      <c r="X540" s="88"/>
    </row>
    <row r="541" spans="3:24" x14ac:dyDescent="0.25">
      <c r="C541" s="88">
        <v>537</v>
      </c>
      <c r="D541" s="92">
        <f t="shared" si="54"/>
        <v>-0.14850694444445367</v>
      </c>
      <c r="E541" s="92">
        <f>IF(H541=0,0,G541*('Atsipirkimo vertinimas'!$N$19)/12)</f>
        <v>-1.1790625000000092</v>
      </c>
      <c r="F541" s="92">
        <f>($G$4/('Atsipirkimo vertinimas'!$N$18*12-'Atsipirkimo vertinimas'!$N$20)*H541)</f>
        <v>0.97222222222222221</v>
      </c>
      <c r="G541" s="92">
        <f t="shared" si="57"/>
        <v>-288.75000000000227</v>
      </c>
      <c r="H541">
        <f>IF(C541-'Atsipirkimo vertinimas'!$N$20&lt;0,0,1)</f>
        <v>1</v>
      </c>
      <c r="I541" s="92"/>
      <c r="J541" s="92">
        <f t="shared" si="55"/>
        <v>0</v>
      </c>
      <c r="K541" s="92"/>
      <c r="L541" s="88"/>
      <c r="N541" s="88">
        <v>537</v>
      </c>
      <c r="O541" s="92">
        <f t="shared" si="56"/>
        <v>5.8333333333333355E-2</v>
      </c>
      <c r="P541" s="92">
        <f>IF($Z$64&lt;S541+(S541*(('Atsipirkimo vertinimas'!$N$19)/12)),($Z$64*T541)+(Q541*U541),S541+(S541*(('Atsipirkimo vertinimas'!$N$19)/12)))</f>
        <v>0</v>
      </c>
      <c r="Q541" s="92">
        <f>IF(T541=0,0,S541*('Atsipirkimo vertinimas'!$N$19)/12)</f>
        <v>0</v>
      </c>
      <c r="R541" s="92">
        <f t="shared" si="58"/>
        <v>0</v>
      </c>
      <c r="S541" s="92">
        <f t="shared" si="59"/>
        <v>0</v>
      </c>
      <c r="T541">
        <f>IF(N541-'Atsipirkimo vertinimas'!$N$20&lt;0,0,1)</f>
        <v>1</v>
      </c>
      <c r="U541">
        <f>IF(N541-'Atsipirkimo vertinimas'!$N$20&gt;=0,0,1)</f>
        <v>0</v>
      </c>
      <c r="V541" s="92"/>
      <c r="W541" s="92"/>
      <c r="X541" s="88"/>
    </row>
    <row r="542" spans="3:24" x14ac:dyDescent="0.25">
      <c r="C542" s="88">
        <v>538</v>
      </c>
      <c r="D542" s="92">
        <f t="shared" si="54"/>
        <v>-0.15247685185186122</v>
      </c>
      <c r="E542" s="92">
        <f>IF(H542=0,0,G542*('Atsipirkimo vertinimas'!$N$19)/12)</f>
        <v>-1.1830324074074168</v>
      </c>
      <c r="F542" s="92">
        <f>($G$4/('Atsipirkimo vertinimas'!$N$18*12-'Atsipirkimo vertinimas'!$N$20)*H542)</f>
        <v>0.97222222222222221</v>
      </c>
      <c r="G542" s="92">
        <f t="shared" si="57"/>
        <v>-289.7222222222245</v>
      </c>
      <c r="H542">
        <f>IF(C542-'Atsipirkimo vertinimas'!$N$20&lt;0,0,1)</f>
        <v>1</v>
      </c>
      <c r="I542" s="92"/>
      <c r="J542" s="92">
        <f t="shared" si="55"/>
        <v>0</v>
      </c>
      <c r="K542" s="92"/>
      <c r="L542" s="88"/>
      <c r="N542" s="88">
        <v>538</v>
      </c>
      <c r="O542" s="92">
        <f t="shared" si="56"/>
        <v>5.8333333333333355E-2</v>
      </c>
      <c r="P542" s="92">
        <f>IF($Z$64&lt;S542+(S542*(('Atsipirkimo vertinimas'!$N$19)/12)),($Z$64*T542)+(Q542*U542),S542+(S542*(('Atsipirkimo vertinimas'!$N$19)/12)))</f>
        <v>0</v>
      </c>
      <c r="Q542" s="92">
        <f>IF(T542=0,0,S542*('Atsipirkimo vertinimas'!$N$19)/12)</f>
        <v>0</v>
      </c>
      <c r="R542" s="92">
        <f t="shared" si="58"/>
        <v>0</v>
      </c>
      <c r="S542" s="92">
        <f t="shared" si="59"/>
        <v>0</v>
      </c>
      <c r="T542">
        <f>IF(N542-'Atsipirkimo vertinimas'!$N$20&lt;0,0,1)</f>
        <v>1</v>
      </c>
      <c r="U542">
        <f>IF(N542-'Atsipirkimo vertinimas'!$N$20&gt;=0,0,1)</f>
        <v>0</v>
      </c>
      <c r="V542" s="92"/>
      <c r="W542" s="92"/>
      <c r="X542" s="88"/>
    </row>
    <row r="543" spans="3:24" x14ac:dyDescent="0.25">
      <c r="C543" s="88">
        <v>539</v>
      </c>
      <c r="D543" s="92">
        <f t="shared" si="54"/>
        <v>-0.15644675925926876</v>
      </c>
      <c r="E543" s="92">
        <f>IF(H543=0,0,G543*('Atsipirkimo vertinimas'!$N$19)/12)</f>
        <v>-1.1870023148148243</v>
      </c>
      <c r="F543" s="92">
        <f>($G$4/('Atsipirkimo vertinimas'!$N$18*12-'Atsipirkimo vertinimas'!$N$20)*H543)</f>
        <v>0.97222222222222221</v>
      </c>
      <c r="G543" s="92">
        <f t="shared" si="57"/>
        <v>-290.69444444444673</v>
      </c>
      <c r="H543">
        <f>IF(C543-'Atsipirkimo vertinimas'!$N$20&lt;0,0,1)</f>
        <v>1</v>
      </c>
      <c r="I543" s="92"/>
      <c r="J543" s="92">
        <f t="shared" si="55"/>
        <v>0</v>
      </c>
      <c r="K543" s="92"/>
      <c r="L543" s="91">
        <f>IF('Atsipirkimo vertinimas'!$N$18*12&gt;Grafikas!C543,SUM(D532:D543),0)</f>
        <v>0</v>
      </c>
      <c r="N543" s="88">
        <v>539</v>
      </c>
      <c r="O543" s="92">
        <f t="shared" si="56"/>
        <v>5.8333333333333355E-2</v>
      </c>
      <c r="P543" s="92">
        <f>IF($Z$64&lt;S543+(S543*(('Atsipirkimo vertinimas'!$N$19)/12)),($Z$64*T543)+(Q543*U543),S543+(S543*(('Atsipirkimo vertinimas'!$N$19)/12)))</f>
        <v>0</v>
      </c>
      <c r="Q543" s="92">
        <f>IF(T543=0,0,S543*('Atsipirkimo vertinimas'!$N$19)/12)</f>
        <v>0</v>
      </c>
      <c r="R543" s="92">
        <f t="shared" si="58"/>
        <v>0</v>
      </c>
      <c r="S543" s="92">
        <f t="shared" si="59"/>
        <v>0</v>
      </c>
      <c r="T543">
        <f>IF(N543-'Atsipirkimo vertinimas'!$N$20&lt;0,0,1)</f>
        <v>1</v>
      </c>
      <c r="U543">
        <f>IF(N543-'Atsipirkimo vertinimas'!$N$20&gt;=0,0,1)</f>
        <v>0</v>
      </c>
      <c r="V543" s="92"/>
      <c r="W543" s="92"/>
      <c r="X543" s="91">
        <f>IF('Atsipirkimo vertinimas'!$N$18*12&gt;Grafikas!C543,SUM(O532:O543),0)</f>
        <v>0</v>
      </c>
    </row>
    <row r="544" spans="3:24" x14ac:dyDescent="0.25">
      <c r="C544" s="88">
        <v>540</v>
      </c>
      <c r="D544" s="92">
        <f t="shared" si="54"/>
        <v>-0.16041666666667609</v>
      </c>
      <c r="E544" s="92">
        <f>IF(H544=0,0,G544*('Atsipirkimo vertinimas'!$N$19)/12)</f>
        <v>-1.1909722222222316</v>
      </c>
      <c r="F544" s="92">
        <f>($G$4/('Atsipirkimo vertinimas'!$N$18*12-'Atsipirkimo vertinimas'!$N$20)*H544)</f>
        <v>0.97222222222222221</v>
      </c>
      <c r="G544" s="92">
        <f t="shared" si="57"/>
        <v>-291.66666666666896</v>
      </c>
      <c r="H544">
        <f>IF(C544-'Atsipirkimo vertinimas'!$N$20&lt;0,0,1)</f>
        <v>1</v>
      </c>
      <c r="I544" s="92"/>
      <c r="J544" s="92">
        <f t="shared" si="55"/>
        <v>0</v>
      </c>
      <c r="K544" s="92"/>
      <c r="L544" s="88"/>
      <c r="N544" s="88">
        <v>540</v>
      </c>
      <c r="O544" s="92">
        <f t="shared" si="56"/>
        <v>5.8333333333333355E-2</v>
      </c>
      <c r="P544" s="92">
        <f>IF($Z$64&lt;S544+(S544*(('Atsipirkimo vertinimas'!$N$19)/12)),($Z$64*T544)+(Q544*U544),S544+(S544*(('Atsipirkimo vertinimas'!$N$19)/12)))</f>
        <v>0</v>
      </c>
      <c r="Q544" s="92">
        <f>IF(T544=0,0,S544*('Atsipirkimo vertinimas'!$N$19)/12)</f>
        <v>0</v>
      </c>
      <c r="R544" s="92">
        <f t="shared" si="58"/>
        <v>0</v>
      </c>
      <c r="S544" s="92">
        <f t="shared" si="59"/>
        <v>0</v>
      </c>
      <c r="T544">
        <f>IF(N544-'Atsipirkimo vertinimas'!$N$20&lt;0,0,1)</f>
        <v>1</v>
      </c>
      <c r="U544">
        <f>IF(N544-'Atsipirkimo vertinimas'!$N$20&gt;=0,0,1)</f>
        <v>0</v>
      </c>
      <c r="V544" s="92"/>
      <c r="W544" s="92"/>
      <c r="X544" s="88"/>
    </row>
    <row r="545" spans="3:24" x14ac:dyDescent="0.25">
      <c r="C545" s="88">
        <v>541</v>
      </c>
      <c r="D545" s="92">
        <f t="shared" si="54"/>
        <v>-0.16438657407408341</v>
      </c>
      <c r="E545" s="92">
        <f>IF(H545=0,0,G545*('Atsipirkimo vertinimas'!$N$19)/12)</f>
        <v>-1.194942129629639</v>
      </c>
      <c r="F545" s="92">
        <f>($G$4/('Atsipirkimo vertinimas'!$N$18*12-'Atsipirkimo vertinimas'!$N$20)*H545)</f>
        <v>0.97222222222222221</v>
      </c>
      <c r="G545" s="92">
        <f t="shared" si="57"/>
        <v>-292.63888888889119</v>
      </c>
      <c r="H545">
        <f>IF(C545-'Atsipirkimo vertinimas'!$N$20&lt;0,0,1)</f>
        <v>1</v>
      </c>
      <c r="I545" s="92"/>
      <c r="J545" s="92">
        <f t="shared" si="55"/>
        <v>0</v>
      </c>
      <c r="K545" s="92"/>
      <c r="L545" s="88"/>
      <c r="N545" s="88">
        <v>541</v>
      </c>
      <c r="O545" s="92">
        <f t="shared" si="56"/>
        <v>5.8333333333333355E-2</v>
      </c>
      <c r="P545" s="92">
        <f>IF($Z$64&lt;S545+(S545*(('Atsipirkimo vertinimas'!$N$19)/12)),($Z$64*T545)+(Q545*U545),S545+(S545*(('Atsipirkimo vertinimas'!$N$19)/12)))</f>
        <v>0</v>
      </c>
      <c r="Q545" s="92">
        <f>IF(T545=0,0,S545*('Atsipirkimo vertinimas'!$N$19)/12)</f>
        <v>0</v>
      </c>
      <c r="R545" s="92">
        <f t="shared" si="58"/>
        <v>0</v>
      </c>
      <c r="S545" s="92">
        <f t="shared" si="59"/>
        <v>0</v>
      </c>
      <c r="T545">
        <f>IF(N545-'Atsipirkimo vertinimas'!$N$20&lt;0,0,1)</f>
        <v>1</v>
      </c>
      <c r="U545">
        <f>IF(N545-'Atsipirkimo vertinimas'!$N$20&gt;=0,0,1)</f>
        <v>0</v>
      </c>
      <c r="V545" s="92"/>
      <c r="W545" s="92"/>
      <c r="X545" s="88"/>
    </row>
    <row r="546" spans="3:24" x14ac:dyDescent="0.25">
      <c r="C546" s="88">
        <v>542</v>
      </c>
      <c r="D546" s="92">
        <f t="shared" si="54"/>
        <v>-0.16835648148149096</v>
      </c>
      <c r="E546" s="92">
        <f>IF(H546=0,0,G546*('Atsipirkimo vertinimas'!$N$19)/12)</f>
        <v>-1.1989120370370465</v>
      </c>
      <c r="F546" s="92">
        <f>($G$4/('Atsipirkimo vertinimas'!$N$18*12-'Atsipirkimo vertinimas'!$N$20)*H546)</f>
        <v>0.97222222222222221</v>
      </c>
      <c r="G546" s="92">
        <f t="shared" si="57"/>
        <v>-293.61111111111342</v>
      </c>
      <c r="H546">
        <f>IF(C546-'Atsipirkimo vertinimas'!$N$20&lt;0,0,1)</f>
        <v>1</v>
      </c>
      <c r="I546" s="92"/>
      <c r="J546" s="92">
        <f t="shared" si="55"/>
        <v>0</v>
      </c>
      <c r="K546" s="92"/>
      <c r="L546" s="88"/>
      <c r="N546" s="88">
        <v>542</v>
      </c>
      <c r="O546" s="92">
        <f t="shared" si="56"/>
        <v>5.8333333333333355E-2</v>
      </c>
      <c r="P546" s="92">
        <f>IF($Z$64&lt;S546+(S546*(('Atsipirkimo vertinimas'!$N$19)/12)),($Z$64*T546)+(Q546*U546),S546+(S546*(('Atsipirkimo vertinimas'!$N$19)/12)))</f>
        <v>0</v>
      </c>
      <c r="Q546" s="92">
        <f>IF(T546=0,0,S546*('Atsipirkimo vertinimas'!$N$19)/12)</f>
        <v>0</v>
      </c>
      <c r="R546" s="92">
        <f t="shared" si="58"/>
        <v>0</v>
      </c>
      <c r="S546" s="92">
        <f t="shared" si="59"/>
        <v>0</v>
      </c>
      <c r="T546">
        <f>IF(N546-'Atsipirkimo vertinimas'!$N$20&lt;0,0,1)</f>
        <v>1</v>
      </c>
      <c r="U546">
        <f>IF(N546-'Atsipirkimo vertinimas'!$N$20&gt;=0,0,1)</f>
        <v>0</v>
      </c>
      <c r="V546" s="92"/>
      <c r="W546" s="92"/>
      <c r="X546" s="88"/>
    </row>
    <row r="547" spans="3:24" x14ac:dyDescent="0.25">
      <c r="C547" s="88">
        <v>543</v>
      </c>
      <c r="D547" s="92">
        <f t="shared" si="54"/>
        <v>-0.17232638888889851</v>
      </c>
      <c r="E547" s="92">
        <f>IF(H547=0,0,G547*('Atsipirkimo vertinimas'!$N$19)/12)</f>
        <v>-1.2028819444444541</v>
      </c>
      <c r="F547" s="92">
        <f>($G$4/('Atsipirkimo vertinimas'!$N$18*12-'Atsipirkimo vertinimas'!$N$20)*H547)</f>
        <v>0.97222222222222221</v>
      </c>
      <c r="G547" s="92">
        <f t="shared" si="57"/>
        <v>-294.58333333333564</v>
      </c>
      <c r="H547">
        <f>IF(C547-'Atsipirkimo vertinimas'!$N$20&lt;0,0,1)</f>
        <v>1</v>
      </c>
      <c r="I547" s="92"/>
      <c r="J547" s="92">
        <f t="shared" si="55"/>
        <v>0</v>
      </c>
      <c r="K547" s="92"/>
      <c r="L547" s="88"/>
      <c r="N547" s="88">
        <v>543</v>
      </c>
      <c r="O547" s="92">
        <f t="shared" si="56"/>
        <v>5.8333333333333355E-2</v>
      </c>
      <c r="P547" s="92">
        <f>IF($Z$64&lt;S547+(S547*(('Atsipirkimo vertinimas'!$N$19)/12)),($Z$64*T547)+(Q547*U547),S547+(S547*(('Atsipirkimo vertinimas'!$N$19)/12)))</f>
        <v>0</v>
      </c>
      <c r="Q547" s="92">
        <f>IF(T547=0,0,S547*('Atsipirkimo vertinimas'!$N$19)/12)</f>
        <v>0</v>
      </c>
      <c r="R547" s="92">
        <f t="shared" si="58"/>
        <v>0</v>
      </c>
      <c r="S547" s="92">
        <f t="shared" si="59"/>
        <v>0</v>
      </c>
      <c r="T547">
        <f>IF(N547-'Atsipirkimo vertinimas'!$N$20&lt;0,0,1)</f>
        <v>1</v>
      </c>
      <c r="U547">
        <f>IF(N547-'Atsipirkimo vertinimas'!$N$20&gt;=0,0,1)</f>
        <v>0</v>
      </c>
      <c r="V547" s="92"/>
      <c r="W547" s="92"/>
      <c r="X547" s="88"/>
    </row>
    <row r="548" spans="3:24" x14ac:dyDescent="0.25">
      <c r="C548" s="88">
        <v>544</v>
      </c>
      <c r="D548" s="92">
        <f t="shared" si="54"/>
        <v>-0.17629629629630583</v>
      </c>
      <c r="E548" s="92">
        <f>IF(H548=0,0,G548*('Atsipirkimo vertinimas'!$N$19)/12)</f>
        <v>-1.2068518518518614</v>
      </c>
      <c r="F548" s="92">
        <f>($G$4/('Atsipirkimo vertinimas'!$N$18*12-'Atsipirkimo vertinimas'!$N$20)*H548)</f>
        <v>0.97222222222222221</v>
      </c>
      <c r="G548" s="92">
        <f t="shared" si="57"/>
        <v>-295.55555555555787</v>
      </c>
      <c r="H548">
        <f>IF(C548-'Atsipirkimo vertinimas'!$N$20&lt;0,0,1)</f>
        <v>1</v>
      </c>
      <c r="I548" s="92"/>
      <c r="J548" s="92">
        <f t="shared" si="55"/>
        <v>0</v>
      </c>
      <c r="K548" s="92"/>
      <c r="L548" s="88"/>
      <c r="N548" s="88">
        <v>544</v>
      </c>
      <c r="O548" s="92">
        <f t="shared" si="56"/>
        <v>5.8333333333333355E-2</v>
      </c>
      <c r="P548" s="92">
        <f>IF($Z$64&lt;S548+(S548*(('Atsipirkimo vertinimas'!$N$19)/12)),($Z$64*T548)+(Q548*U548),S548+(S548*(('Atsipirkimo vertinimas'!$N$19)/12)))</f>
        <v>0</v>
      </c>
      <c r="Q548" s="92">
        <f>IF(T548=0,0,S548*('Atsipirkimo vertinimas'!$N$19)/12)</f>
        <v>0</v>
      </c>
      <c r="R548" s="92">
        <f t="shared" si="58"/>
        <v>0</v>
      </c>
      <c r="S548" s="92">
        <f t="shared" si="59"/>
        <v>0</v>
      </c>
      <c r="T548">
        <f>IF(N548-'Atsipirkimo vertinimas'!$N$20&lt;0,0,1)</f>
        <v>1</v>
      </c>
      <c r="U548">
        <f>IF(N548-'Atsipirkimo vertinimas'!$N$20&gt;=0,0,1)</f>
        <v>0</v>
      </c>
      <c r="V548" s="92"/>
      <c r="W548" s="92"/>
      <c r="X548" s="88"/>
    </row>
    <row r="549" spans="3:24" x14ac:dyDescent="0.25">
      <c r="C549" s="88">
        <v>545</v>
      </c>
      <c r="D549" s="92">
        <f t="shared" si="54"/>
        <v>-0.18026620370371316</v>
      </c>
      <c r="E549" s="92">
        <f>IF(H549=0,0,G549*('Atsipirkimo vertinimas'!$N$19)/12)</f>
        <v>-1.2108217592592687</v>
      </c>
      <c r="F549" s="92">
        <f>($G$4/('Atsipirkimo vertinimas'!$N$18*12-'Atsipirkimo vertinimas'!$N$20)*H549)</f>
        <v>0.97222222222222221</v>
      </c>
      <c r="G549" s="92">
        <f t="shared" si="57"/>
        <v>-296.5277777777801</v>
      </c>
      <c r="H549">
        <f>IF(C549-'Atsipirkimo vertinimas'!$N$20&lt;0,0,1)</f>
        <v>1</v>
      </c>
      <c r="I549" s="92"/>
      <c r="J549" s="92">
        <f t="shared" si="55"/>
        <v>0</v>
      </c>
      <c r="K549" s="92"/>
      <c r="L549" s="88"/>
      <c r="N549" s="88">
        <v>545</v>
      </c>
      <c r="O549" s="92">
        <f t="shared" si="56"/>
        <v>5.8333333333333355E-2</v>
      </c>
      <c r="P549" s="92">
        <f>IF($Z$64&lt;S549+(S549*(('Atsipirkimo vertinimas'!$N$19)/12)),($Z$64*T549)+(Q549*U549),S549+(S549*(('Atsipirkimo vertinimas'!$N$19)/12)))</f>
        <v>0</v>
      </c>
      <c r="Q549" s="92">
        <f>IF(T549=0,0,S549*('Atsipirkimo vertinimas'!$N$19)/12)</f>
        <v>0</v>
      </c>
      <c r="R549" s="92">
        <f t="shared" si="58"/>
        <v>0</v>
      </c>
      <c r="S549" s="92">
        <f t="shared" si="59"/>
        <v>0</v>
      </c>
      <c r="T549">
        <f>IF(N549-'Atsipirkimo vertinimas'!$N$20&lt;0,0,1)</f>
        <v>1</v>
      </c>
      <c r="U549">
        <f>IF(N549-'Atsipirkimo vertinimas'!$N$20&gt;=0,0,1)</f>
        <v>0</v>
      </c>
      <c r="V549" s="92"/>
      <c r="W549" s="92"/>
      <c r="X549" s="88"/>
    </row>
    <row r="550" spans="3:24" x14ac:dyDescent="0.25">
      <c r="C550" s="88">
        <v>546</v>
      </c>
      <c r="D550" s="92">
        <f t="shared" si="54"/>
        <v>-0.1842361111111207</v>
      </c>
      <c r="E550" s="92">
        <f>IF(H550=0,0,G550*('Atsipirkimo vertinimas'!$N$19)/12)</f>
        <v>-1.2147916666666763</v>
      </c>
      <c r="F550" s="92">
        <f>($G$4/('Atsipirkimo vertinimas'!$N$18*12-'Atsipirkimo vertinimas'!$N$20)*H550)</f>
        <v>0.97222222222222221</v>
      </c>
      <c r="G550" s="92">
        <f t="shared" si="57"/>
        <v>-297.50000000000233</v>
      </c>
      <c r="H550">
        <f>IF(C550-'Atsipirkimo vertinimas'!$N$20&lt;0,0,1)</f>
        <v>1</v>
      </c>
      <c r="I550" s="92"/>
      <c r="J550" s="92">
        <f t="shared" si="55"/>
        <v>0</v>
      </c>
      <c r="K550" s="92"/>
      <c r="L550" s="88"/>
      <c r="N550" s="88">
        <v>546</v>
      </c>
      <c r="O550" s="92">
        <f t="shared" si="56"/>
        <v>5.8333333333333355E-2</v>
      </c>
      <c r="P550" s="92">
        <f>IF($Z$64&lt;S550+(S550*(('Atsipirkimo vertinimas'!$N$19)/12)),($Z$64*T550)+(Q550*U550),S550+(S550*(('Atsipirkimo vertinimas'!$N$19)/12)))</f>
        <v>0</v>
      </c>
      <c r="Q550" s="92">
        <f>IF(T550=0,0,S550*('Atsipirkimo vertinimas'!$N$19)/12)</f>
        <v>0</v>
      </c>
      <c r="R550" s="92">
        <f t="shared" si="58"/>
        <v>0</v>
      </c>
      <c r="S550" s="92">
        <f t="shared" si="59"/>
        <v>0</v>
      </c>
      <c r="T550">
        <f>IF(N550-'Atsipirkimo vertinimas'!$N$20&lt;0,0,1)</f>
        <v>1</v>
      </c>
      <c r="U550">
        <f>IF(N550-'Atsipirkimo vertinimas'!$N$20&gt;=0,0,1)</f>
        <v>0</v>
      </c>
      <c r="V550" s="92"/>
      <c r="W550" s="92"/>
      <c r="X550" s="88"/>
    </row>
    <row r="551" spans="3:24" x14ac:dyDescent="0.25">
      <c r="C551" s="88">
        <v>547</v>
      </c>
      <c r="D551" s="92">
        <f t="shared" si="54"/>
        <v>-0.18820601851852825</v>
      </c>
      <c r="E551" s="92">
        <f>IF(H551=0,0,G551*('Atsipirkimo vertinimas'!$N$19)/12)</f>
        <v>-1.2187615740740838</v>
      </c>
      <c r="F551" s="92">
        <f>($G$4/('Atsipirkimo vertinimas'!$N$18*12-'Atsipirkimo vertinimas'!$N$20)*H551)</f>
        <v>0.97222222222222221</v>
      </c>
      <c r="G551" s="92">
        <f t="shared" si="57"/>
        <v>-298.47222222222456</v>
      </c>
      <c r="H551">
        <f>IF(C551-'Atsipirkimo vertinimas'!$N$20&lt;0,0,1)</f>
        <v>1</v>
      </c>
      <c r="I551" s="92"/>
      <c r="J551" s="92">
        <f t="shared" si="55"/>
        <v>0</v>
      </c>
      <c r="K551" s="92"/>
      <c r="L551" s="88"/>
      <c r="N551" s="88">
        <v>547</v>
      </c>
      <c r="O551" s="92">
        <f t="shared" si="56"/>
        <v>5.8333333333333355E-2</v>
      </c>
      <c r="P551" s="92">
        <f>IF($Z$64&lt;S551+(S551*(('Atsipirkimo vertinimas'!$N$19)/12)),($Z$64*T551)+(Q551*U551),S551+(S551*(('Atsipirkimo vertinimas'!$N$19)/12)))</f>
        <v>0</v>
      </c>
      <c r="Q551" s="92">
        <f>IF(T551=0,0,S551*('Atsipirkimo vertinimas'!$N$19)/12)</f>
        <v>0</v>
      </c>
      <c r="R551" s="92">
        <f t="shared" si="58"/>
        <v>0</v>
      </c>
      <c r="S551" s="92">
        <f t="shared" si="59"/>
        <v>0</v>
      </c>
      <c r="T551">
        <f>IF(N551-'Atsipirkimo vertinimas'!$N$20&lt;0,0,1)</f>
        <v>1</v>
      </c>
      <c r="U551">
        <f>IF(N551-'Atsipirkimo vertinimas'!$N$20&gt;=0,0,1)</f>
        <v>0</v>
      </c>
      <c r="V551" s="92"/>
      <c r="W551" s="92"/>
      <c r="X551" s="88"/>
    </row>
    <row r="552" spans="3:24" x14ac:dyDescent="0.25">
      <c r="C552" s="88">
        <v>548</v>
      </c>
      <c r="D552" s="92">
        <f t="shared" si="54"/>
        <v>-0.19217592592593558</v>
      </c>
      <c r="E552" s="92">
        <f>IF(H552=0,0,G552*('Atsipirkimo vertinimas'!$N$19)/12)</f>
        <v>-1.2227314814814911</v>
      </c>
      <c r="F552" s="92">
        <f>($G$4/('Atsipirkimo vertinimas'!$N$18*12-'Atsipirkimo vertinimas'!$N$20)*H552)</f>
        <v>0.97222222222222221</v>
      </c>
      <c r="G552" s="92">
        <f t="shared" si="57"/>
        <v>-299.44444444444679</v>
      </c>
      <c r="H552">
        <f>IF(C552-'Atsipirkimo vertinimas'!$N$20&lt;0,0,1)</f>
        <v>1</v>
      </c>
      <c r="I552" s="92"/>
      <c r="J552" s="92">
        <f t="shared" si="55"/>
        <v>0</v>
      </c>
      <c r="K552" s="92"/>
      <c r="L552" s="88"/>
      <c r="N552" s="88">
        <v>548</v>
      </c>
      <c r="O552" s="92">
        <f t="shared" si="56"/>
        <v>5.8333333333333355E-2</v>
      </c>
      <c r="P552" s="92">
        <f>IF($Z$64&lt;S552+(S552*(('Atsipirkimo vertinimas'!$N$19)/12)),($Z$64*T552)+(Q552*U552),S552+(S552*(('Atsipirkimo vertinimas'!$N$19)/12)))</f>
        <v>0</v>
      </c>
      <c r="Q552" s="92">
        <f>IF(T552=0,0,S552*('Atsipirkimo vertinimas'!$N$19)/12)</f>
        <v>0</v>
      </c>
      <c r="R552" s="92">
        <f t="shared" si="58"/>
        <v>0</v>
      </c>
      <c r="S552" s="92">
        <f t="shared" si="59"/>
        <v>0</v>
      </c>
      <c r="T552">
        <f>IF(N552-'Atsipirkimo vertinimas'!$N$20&lt;0,0,1)</f>
        <v>1</v>
      </c>
      <c r="U552">
        <f>IF(N552-'Atsipirkimo vertinimas'!$N$20&gt;=0,0,1)</f>
        <v>0</v>
      </c>
      <c r="V552" s="92"/>
      <c r="W552" s="92"/>
      <c r="X552" s="88"/>
    </row>
    <row r="553" spans="3:24" x14ac:dyDescent="0.25">
      <c r="C553" s="88">
        <v>549</v>
      </c>
      <c r="D553" s="92">
        <f t="shared" si="54"/>
        <v>-0.1961458333333429</v>
      </c>
      <c r="E553" s="92">
        <f>IF(H553=0,0,G553*('Atsipirkimo vertinimas'!$N$19)/12)</f>
        <v>-1.2267013888888985</v>
      </c>
      <c r="F553" s="92">
        <f>($G$4/('Atsipirkimo vertinimas'!$N$18*12-'Atsipirkimo vertinimas'!$N$20)*H553)</f>
        <v>0.97222222222222221</v>
      </c>
      <c r="G553" s="92">
        <f t="shared" si="57"/>
        <v>-300.41666666666902</v>
      </c>
      <c r="H553">
        <f>IF(C553-'Atsipirkimo vertinimas'!$N$20&lt;0,0,1)</f>
        <v>1</v>
      </c>
      <c r="I553" s="92"/>
      <c r="J553" s="92">
        <f t="shared" si="55"/>
        <v>0</v>
      </c>
      <c r="K553" s="92"/>
      <c r="L553" s="88"/>
      <c r="N553" s="88">
        <v>549</v>
      </c>
      <c r="O553" s="92">
        <f t="shared" si="56"/>
        <v>5.8333333333333355E-2</v>
      </c>
      <c r="P553" s="92">
        <f>IF($Z$64&lt;S553+(S553*(('Atsipirkimo vertinimas'!$N$19)/12)),($Z$64*T553)+(Q553*U553),S553+(S553*(('Atsipirkimo vertinimas'!$N$19)/12)))</f>
        <v>0</v>
      </c>
      <c r="Q553" s="92">
        <f>IF(T553=0,0,S553*('Atsipirkimo vertinimas'!$N$19)/12)</f>
        <v>0</v>
      </c>
      <c r="R553" s="92">
        <f t="shared" si="58"/>
        <v>0</v>
      </c>
      <c r="S553" s="92">
        <f t="shared" si="59"/>
        <v>0</v>
      </c>
      <c r="T553">
        <f>IF(N553-'Atsipirkimo vertinimas'!$N$20&lt;0,0,1)</f>
        <v>1</v>
      </c>
      <c r="U553">
        <f>IF(N553-'Atsipirkimo vertinimas'!$N$20&gt;=0,0,1)</f>
        <v>0</v>
      </c>
      <c r="V553" s="92"/>
      <c r="W553" s="92"/>
      <c r="X553" s="88"/>
    </row>
    <row r="554" spans="3:24" x14ac:dyDescent="0.25">
      <c r="C554" s="88">
        <v>550</v>
      </c>
      <c r="D554" s="92">
        <f t="shared" si="54"/>
        <v>-0.20011574074075045</v>
      </c>
      <c r="E554" s="92">
        <f>IF(H554=0,0,G554*('Atsipirkimo vertinimas'!$N$19)/12)</f>
        <v>-1.230671296296306</v>
      </c>
      <c r="F554" s="92">
        <f>($G$4/('Atsipirkimo vertinimas'!$N$18*12-'Atsipirkimo vertinimas'!$N$20)*H554)</f>
        <v>0.97222222222222221</v>
      </c>
      <c r="G554" s="92">
        <f t="shared" si="57"/>
        <v>-301.38888888889124</v>
      </c>
      <c r="H554">
        <f>IF(C554-'Atsipirkimo vertinimas'!$N$20&lt;0,0,1)</f>
        <v>1</v>
      </c>
      <c r="I554" s="92"/>
      <c r="J554" s="92">
        <f t="shared" si="55"/>
        <v>0</v>
      </c>
      <c r="K554" s="92"/>
      <c r="L554" s="88"/>
      <c r="N554" s="88">
        <v>550</v>
      </c>
      <c r="O554" s="92">
        <f t="shared" si="56"/>
        <v>5.8333333333333355E-2</v>
      </c>
      <c r="P554" s="92">
        <f>IF($Z$64&lt;S554+(S554*(('Atsipirkimo vertinimas'!$N$19)/12)),($Z$64*T554)+(Q554*U554),S554+(S554*(('Atsipirkimo vertinimas'!$N$19)/12)))</f>
        <v>0</v>
      </c>
      <c r="Q554" s="92">
        <f>IF(T554=0,0,S554*('Atsipirkimo vertinimas'!$N$19)/12)</f>
        <v>0</v>
      </c>
      <c r="R554" s="92">
        <f t="shared" si="58"/>
        <v>0</v>
      </c>
      <c r="S554" s="92">
        <f t="shared" si="59"/>
        <v>0</v>
      </c>
      <c r="T554">
        <f>IF(N554-'Atsipirkimo vertinimas'!$N$20&lt;0,0,1)</f>
        <v>1</v>
      </c>
      <c r="U554">
        <f>IF(N554-'Atsipirkimo vertinimas'!$N$20&gt;=0,0,1)</f>
        <v>0</v>
      </c>
      <c r="V554" s="92"/>
      <c r="W554" s="92"/>
      <c r="X554" s="88"/>
    </row>
    <row r="555" spans="3:24" x14ac:dyDescent="0.25">
      <c r="C555" s="88">
        <v>551</v>
      </c>
      <c r="D555" s="92">
        <f t="shared" si="54"/>
        <v>-0.20408564814815777</v>
      </c>
      <c r="E555" s="92">
        <f>IF(H555=0,0,G555*('Atsipirkimo vertinimas'!$N$19)/12)</f>
        <v>-1.2346412037037133</v>
      </c>
      <c r="F555" s="92">
        <f>($G$4/('Atsipirkimo vertinimas'!$N$18*12-'Atsipirkimo vertinimas'!$N$20)*H555)</f>
        <v>0.97222222222222221</v>
      </c>
      <c r="G555" s="92">
        <f t="shared" si="57"/>
        <v>-302.36111111111347</v>
      </c>
      <c r="H555">
        <f>IF(C555-'Atsipirkimo vertinimas'!$N$20&lt;0,0,1)</f>
        <v>1</v>
      </c>
      <c r="I555" s="92"/>
      <c r="J555" s="92">
        <f t="shared" si="55"/>
        <v>0</v>
      </c>
      <c r="K555" s="92"/>
      <c r="L555" s="91">
        <f>IF('Atsipirkimo vertinimas'!$N$18*12&gt;Grafikas!C555,SUM(D544:D555),0)</f>
        <v>0</v>
      </c>
      <c r="N555" s="88">
        <v>551</v>
      </c>
      <c r="O555" s="92">
        <f t="shared" si="56"/>
        <v>5.8333333333333355E-2</v>
      </c>
      <c r="P555" s="92">
        <f>IF($Z$64&lt;S555+(S555*(('Atsipirkimo vertinimas'!$N$19)/12)),($Z$64*T555)+(Q555*U555),S555+(S555*(('Atsipirkimo vertinimas'!$N$19)/12)))</f>
        <v>0</v>
      </c>
      <c r="Q555" s="92">
        <f>IF(T555=0,0,S555*('Atsipirkimo vertinimas'!$N$19)/12)</f>
        <v>0</v>
      </c>
      <c r="R555" s="92">
        <f t="shared" si="58"/>
        <v>0</v>
      </c>
      <c r="S555" s="92">
        <f t="shared" si="59"/>
        <v>0</v>
      </c>
      <c r="T555">
        <f>IF(N555-'Atsipirkimo vertinimas'!$N$20&lt;0,0,1)</f>
        <v>1</v>
      </c>
      <c r="U555">
        <f>IF(N555-'Atsipirkimo vertinimas'!$N$20&gt;=0,0,1)</f>
        <v>0</v>
      </c>
      <c r="V555" s="92"/>
      <c r="W555" s="92"/>
      <c r="X555" s="91">
        <f>IF('Atsipirkimo vertinimas'!$N$18*12&gt;Grafikas!C555,SUM(O544:O555),0)</f>
        <v>0</v>
      </c>
    </row>
    <row r="556" spans="3:24" x14ac:dyDescent="0.25">
      <c r="C556" s="88">
        <v>552</v>
      </c>
      <c r="D556" s="92">
        <f t="shared" si="54"/>
        <v>-0.20805555555556532</v>
      </c>
      <c r="E556" s="92">
        <f>IF(H556=0,0,G556*('Atsipirkimo vertinimas'!$N$19)/12)</f>
        <v>-1.2386111111111209</v>
      </c>
      <c r="F556" s="92">
        <f>($G$4/('Atsipirkimo vertinimas'!$N$18*12-'Atsipirkimo vertinimas'!$N$20)*H556)</f>
        <v>0.97222222222222221</v>
      </c>
      <c r="G556" s="92">
        <f t="shared" si="57"/>
        <v>-303.3333333333357</v>
      </c>
      <c r="H556">
        <f>IF(C556-'Atsipirkimo vertinimas'!$N$20&lt;0,0,1)</f>
        <v>1</v>
      </c>
      <c r="I556" s="92"/>
      <c r="J556" s="92">
        <f t="shared" si="55"/>
        <v>0</v>
      </c>
      <c r="K556" s="92"/>
      <c r="L556" s="88"/>
      <c r="N556" s="88">
        <v>552</v>
      </c>
      <c r="O556" s="92">
        <f t="shared" si="56"/>
        <v>5.8333333333333355E-2</v>
      </c>
      <c r="P556" s="92">
        <f>IF($Z$64&lt;S556+(S556*(('Atsipirkimo vertinimas'!$N$19)/12)),($Z$64*T556)+(Q556*U556),S556+(S556*(('Atsipirkimo vertinimas'!$N$19)/12)))</f>
        <v>0</v>
      </c>
      <c r="Q556" s="92">
        <f>IF(T556=0,0,S556*('Atsipirkimo vertinimas'!$N$19)/12)</f>
        <v>0</v>
      </c>
      <c r="R556" s="92">
        <f t="shared" si="58"/>
        <v>0</v>
      </c>
      <c r="S556" s="92">
        <f t="shared" si="59"/>
        <v>0</v>
      </c>
      <c r="T556">
        <f>IF(N556-'Atsipirkimo vertinimas'!$N$20&lt;0,0,1)</f>
        <v>1</v>
      </c>
      <c r="U556">
        <f>IF(N556-'Atsipirkimo vertinimas'!$N$20&gt;=0,0,1)</f>
        <v>0</v>
      </c>
      <c r="V556" s="92"/>
      <c r="W556" s="92"/>
      <c r="X556" s="88"/>
    </row>
    <row r="557" spans="3:24" x14ac:dyDescent="0.25">
      <c r="C557" s="88">
        <v>553</v>
      </c>
      <c r="D557" s="92">
        <f t="shared" si="54"/>
        <v>-0.21202546296297264</v>
      </c>
      <c r="E557" s="92">
        <f>IF(H557=0,0,G557*('Atsipirkimo vertinimas'!$N$19)/12)</f>
        <v>-1.2425810185185282</v>
      </c>
      <c r="F557" s="92">
        <f>($G$4/('Atsipirkimo vertinimas'!$N$18*12-'Atsipirkimo vertinimas'!$N$20)*H557)</f>
        <v>0.97222222222222221</v>
      </c>
      <c r="G557" s="92">
        <f t="shared" si="57"/>
        <v>-304.30555555555793</v>
      </c>
      <c r="H557">
        <f>IF(C557-'Atsipirkimo vertinimas'!$N$20&lt;0,0,1)</f>
        <v>1</v>
      </c>
      <c r="I557" s="92"/>
      <c r="J557" s="92">
        <f t="shared" si="55"/>
        <v>0</v>
      </c>
      <c r="K557" s="92"/>
      <c r="L557" s="88"/>
      <c r="N557" s="88">
        <v>553</v>
      </c>
      <c r="O557" s="92">
        <f t="shared" si="56"/>
        <v>5.8333333333333355E-2</v>
      </c>
      <c r="P557" s="92">
        <f>IF($Z$64&lt;S557+(S557*(('Atsipirkimo vertinimas'!$N$19)/12)),($Z$64*T557)+(Q557*U557),S557+(S557*(('Atsipirkimo vertinimas'!$N$19)/12)))</f>
        <v>0</v>
      </c>
      <c r="Q557" s="92">
        <f>IF(T557=0,0,S557*('Atsipirkimo vertinimas'!$N$19)/12)</f>
        <v>0</v>
      </c>
      <c r="R557" s="92">
        <f t="shared" si="58"/>
        <v>0</v>
      </c>
      <c r="S557" s="92">
        <f t="shared" si="59"/>
        <v>0</v>
      </c>
      <c r="T557">
        <f>IF(N557-'Atsipirkimo vertinimas'!$N$20&lt;0,0,1)</f>
        <v>1</v>
      </c>
      <c r="U557">
        <f>IF(N557-'Atsipirkimo vertinimas'!$N$20&gt;=0,0,1)</f>
        <v>0</v>
      </c>
      <c r="V557" s="92"/>
      <c r="W557" s="92"/>
      <c r="X557" s="88"/>
    </row>
    <row r="558" spans="3:24" x14ac:dyDescent="0.25">
      <c r="C558" s="88">
        <v>554</v>
      </c>
      <c r="D558" s="92">
        <f t="shared" si="54"/>
        <v>-0.21599537037038019</v>
      </c>
      <c r="E558" s="92">
        <f>IF(H558=0,0,G558*('Atsipirkimo vertinimas'!$N$19)/12)</f>
        <v>-1.2465509259259357</v>
      </c>
      <c r="F558" s="92">
        <f>($G$4/('Atsipirkimo vertinimas'!$N$18*12-'Atsipirkimo vertinimas'!$N$20)*H558)</f>
        <v>0.97222222222222221</v>
      </c>
      <c r="G558" s="92">
        <f t="shared" si="57"/>
        <v>-305.27777777778016</v>
      </c>
      <c r="H558">
        <f>IF(C558-'Atsipirkimo vertinimas'!$N$20&lt;0,0,1)</f>
        <v>1</v>
      </c>
      <c r="I558" s="92"/>
      <c r="J558" s="92">
        <f t="shared" si="55"/>
        <v>0</v>
      </c>
      <c r="K558" s="92"/>
      <c r="L558" s="88"/>
      <c r="N558" s="88">
        <v>554</v>
      </c>
      <c r="O558" s="92">
        <f t="shared" si="56"/>
        <v>5.8333333333333355E-2</v>
      </c>
      <c r="P558" s="92">
        <f>IF($Z$64&lt;S558+(S558*(('Atsipirkimo vertinimas'!$N$19)/12)),($Z$64*T558)+(Q558*U558),S558+(S558*(('Atsipirkimo vertinimas'!$N$19)/12)))</f>
        <v>0</v>
      </c>
      <c r="Q558" s="92">
        <f>IF(T558=0,0,S558*('Atsipirkimo vertinimas'!$N$19)/12)</f>
        <v>0</v>
      </c>
      <c r="R558" s="92">
        <f t="shared" si="58"/>
        <v>0</v>
      </c>
      <c r="S558" s="92">
        <f t="shared" si="59"/>
        <v>0</v>
      </c>
      <c r="T558">
        <f>IF(N558-'Atsipirkimo vertinimas'!$N$20&lt;0,0,1)</f>
        <v>1</v>
      </c>
      <c r="U558">
        <f>IF(N558-'Atsipirkimo vertinimas'!$N$20&gt;=0,0,1)</f>
        <v>0</v>
      </c>
      <c r="V558" s="92"/>
      <c r="W558" s="92"/>
      <c r="X558" s="88"/>
    </row>
    <row r="559" spans="3:24" x14ac:dyDescent="0.25">
      <c r="C559" s="88">
        <v>555</v>
      </c>
      <c r="D559" s="92">
        <f t="shared" si="54"/>
        <v>-0.21996527777778752</v>
      </c>
      <c r="E559" s="92">
        <f>IF(H559=0,0,G559*('Atsipirkimo vertinimas'!$N$19)/12)</f>
        <v>-1.2505208333333431</v>
      </c>
      <c r="F559" s="92">
        <f>($G$4/('Atsipirkimo vertinimas'!$N$18*12-'Atsipirkimo vertinimas'!$N$20)*H559)</f>
        <v>0.97222222222222221</v>
      </c>
      <c r="G559" s="92">
        <f t="shared" si="57"/>
        <v>-306.25000000000239</v>
      </c>
      <c r="H559">
        <f>IF(C559-'Atsipirkimo vertinimas'!$N$20&lt;0,0,1)</f>
        <v>1</v>
      </c>
      <c r="I559" s="92"/>
      <c r="J559" s="92">
        <f t="shared" si="55"/>
        <v>0</v>
      </c>
      <c r="K559" s="92"/>
      <c r="L559" s="88"/>
      <c r="N559" s="88">
        <v>555</v>
      </c>
      <c r="O559" s="92">
        <f t="shared" si="56"/>
        <v>5.8333333333333355E-2</v>
      </c>
      <c r="P559" s="92">
        <f>IF($Z$64&lt;S559+(S559*(('Atsipirkimo vertinimas'!$N$19)/12)),($Z$64*T559)+(Q559*U559),S559+(S559*(('Atsipirkimo vertinimas'!$N$19)/12)))</f>
        <v>0</v>
      </c>
      <c r="Q559" s="92">
        <f>IF(T559=0,0,S559*('Atsipirkimo vertinimas'!$N$19)/12)</f>
        <v>0</v>
      </c>
      <c r="R559" s="92">
        <f t="shared" si="58"/>
        <v>0</v>
      </c>
      <c r="S559" s="92">
        <f t="shared" si="59"/>
        <v>0</v>
      </c>
      <c r="T559">
        <f>IF(N559-'Atsipirkimo vertinimas'!$N$20&lt;0,0,1)</f>
        <v>1</v>
      </c>
      <c r="U559">
        <f>IF(N559-'Atsipirkimo vertinimas'!$N$20&gt;=0,0,1)</f>
        <v>0</v>
      </c>
      <c r="V559" s="92"/>
      <c r="W559" s="92"/>
      <c r="X559" s="88"/>
    </row>
    <row r="560" spans="3:24" x14ac:dyDescent="0.25">
      <c r="C560" s="88">
        <v>556</v>
      </c>
      <c r="D560" s="92">
        <f t="shared" si="54"/>
        <v>-0.22393518518519506</v>
      </c>
      <c r="E560" s="92">
        <f>IF(H560=0,0,G560*('Atsipirkimo vertinimas'!$N$19)/12)</f>
        <v>-1.2544907407407506</v>
      </c>
      <c r="F560" s="92">
        <f>($G$4/('Atsipirkimo vertinimas'!$N$18*12-'Atsipirkimo vertinimas'!$N$20)*H560)</f>
        <v>0.97222222222222221</v>
      </c>
      <c r="G560" s="92">
        <f t="shared" si="57"/>
        <v>-307.22222222222462</v>
      </c>
      <c r="H560">
        <f>IF(C560-'Atsipirkimo vertinimas'!$N$20&lt;0,0,1)</f>
        <v>1</v>
      </c>
      <c r="I560" s="92"/>
      <c r="J560" s="92">
        <f t="shared" si="55"/>
        <v>0</v>
      </c>
      <c r="K560" s="92"/>
      <c r="L560" s="88"/>
      <c r="N560" s="88">
        <v>556</v>
      </c>
      <c r="O560" s="92">
        <f t="shared" si="56"/>
        <v>5.8333333333333355E-2</v>
      </c>
      <c r="P560" s="92">
        <f>IF($Z$64&lt;S560+(S560*(('Atsipirkimo vertinimas'!$N$19)/12)),($Z$64*T560)+(Q560*U560),S560+(S560*(('Atsipirkimo vertinimas'!$N$19)/12)))</f>
        <v>0</v>
      </c>
      <c r="Q560" s="92">
        <f>IF(T560=0,0,S560*('Atsipirkimo vertinimas'!$N$19)/12)</f>
        <v>0</v>
      </c>
      <c r="R560" s="92">
        <f t="shared" si="58"/>
        <v>0</v>
      </c>
      <c r="S560" s="92">
        <f t="shared" si="59"/>
        <v>0</v>
      </c>
      <c r="T560">
        <f>IF(N560-'Atsipirkimo vertinimas'!$N$20&lt;0,0,1)</f>
        <v>1</v>
      </c>
      <c r="U560">
        <f>IF(N560-'Atsipirkimo vertinimas'!$N$20&gt;=0,0,1)</f>
        <v>0</v>
      </c>
      <c r="V560" s="92"/>
      <c r="W560" s="92"/>
      <c r="X560" s="88"/>
    </row>
    <row r="561" spans="3:24" x14ac:dyDescent="0.25">
      <c r="C561" s="88">
        <v>557</v>
      </c>
      <c r="D561" s="92">
        <f t="shared" si="54"/>
        <v>-0.22790509259260239</v>
      </c>
      <c r="E561" s="92">
        <f>IF(H561=0,0,G561*('Atsipirkimo vertinimas'!$N$19)/12)</f>
        <v>-1.2584606481481579</v>
      </c>
      <c r="F561" s="92">
        <f>($G$4/('Atsipirkimo vertinimas'!$N$18*12-'Atsipirkimo vertinimas'!$N$20)*H561)</f>
        <v>0.97222222222222221</v>
      </c>
      <c r="G561" s="92">
        <f t="shared" si="57"/>
        <v>-308.19444444444684</v>
      </c>
      <c r="H561">
        <f>IF(C561-'Atsipirkimo vertinimas'!$N$20&lt;0,0,1)</f>
        <v>1</v>
      </c>
      <c r="I561" s="92"/>
      <c r="J561" s="92">
        <f t="shared" si="55"/>
        <v>0</v>
      </c>
      <c r="K561" s="92"/>
      <c r="L561" s="88"/>
      <c r="N561" s="88">
        <v>557</v>
      </c>
      <c r="O561" s="92">
        <f t="shared" si="56"/>
        <v>5.8333333333333355E-2</v>
      </c>
      <c r="P561" s="92">
        <f>IF($Z$64&lt;S561+(S561*(('Atsipirkimo vertinimas'!$N$19)/12)),($Z$64*T561)+(Q561*U561),S561+(S561*(('Atsipirkimo vertinimas'!$N$19)/12)))</f>
        <v>0</v>
      </c>
      <c r="Q561" s="92">
        <f>IF(T561=0,0,S561*('Atsipirkimo vertinimas'!$N$19)/12)</f>
        <v>0</v>
      </c>
      <c r="R561" s="92">
        <f t="shared" si="58"/>
        <v>0</v>
      </c>
      <c r="S561" s="92">
        <f t="shared" si="59"/>
        <v>0</v>
      </c>
      <c r="T561">
        <f>IF(N561-'Atsipirkimo vertinimas'!$N$20&lt;0,0,1)</f>
        <v>1</v>
      </c>
      <c r="U561">
        <f>IF(N561-'Atsipirkimo vertinimas'!$N$20&gt;=0,0,1)</f>
        <v>0</v>
      </c>
      <c r="V561" s="92"/>
      <c r="W561" s="92"/>
      <c r="X561" s="88"/>
    </row>
    <row r="562" spans="3:24" x14ac:dyDescent="0.25">
      <c r="C562" s="88">
        <v>558</v>
      </c>
      <c r="D562" s="92">
        <f t="shared" si="54"/>
        <v>-0.23187500000000993</v>
      </c>
      <c r="E562" s="92">
        <f>IF(H562=0,0,G562*('Atsipirkimo vertinimas'!$N$19)/12)</f>
        <v>-1.2624305555555655</v>
      </c>
      <c r="F562" s="92">
        <f>($G$4/('Atsipirkimo vertinimas'!$N$18*12-'Atsipirkimo vertinimas'!$N$20)*H562)</f>
        <v>0.97222222222222221</v>
      </c>
      <c r="G562" s="92">
        <f t="shared" si="57"/>
        <v>-309.16666666666907</v>
      </c>
      <c r="H562">
        <f>IF(C562-'Atsipirkimo vertinimas'!$N$20&lt;0,0,1)</f>
        <v>1</v>
      </c>
      <c r="I562" s="92"/>
      <c r="J562" s="92">
        <f t="shared" si="55"/>
        <v>0</v>
      </c>
      <c r="K562" s="92"/>
      <c r="L562" s="88"/>
      <c r="N562" s="88">
        <v>558</v>
      </c>
      <c r="O562" s="92">
        <f t="shared" si="56"/>
        <v>5.8333333333333355E-2</v>
      </c>
      <c r="P562" s="92">
        <f>IF($Z$64&lt;S562+(S562*(('Atsipirkimo vertinimas'!$N$19)/12)),($Z$64*T562)+(Q562*U562),S562+(S562*(('Atsipirkimo vertinimas'!$N$19)/12)))</f>
        <v>0</v>
      </c>
      <c r="Q562" s="92">
        <f>IF(T562=0,0,S562*('Atsipirkimo vertinimas'!$N$19)/12)</f>
        <v>0</v>
      </c>
      <c r="R562" s="92">
        <f t="shared" si="58"/>
        <v>0</v>
      </c>
      <c r="S562" s="92">
        <f t="shared" si="59"/>
        <v>0</v>
      </c>
      <c r="T562">
        <f>IF(N562-'Atsipirkimo vertinimas'!$N$20&lt;0,0,1)</f>
        <v>1</v>
      </c>
      <c r="U562">
        <f>IF(N562-'Atsipirkimo vertinimas'!$N$20&gt;=0,0,1)</f>
        <v>0</v>
      </c>
      <c r="V562" s="92"/>
      <c r="W562" s="92"/>
      <c r="X562" s="88"/>
    </row>
    <row r="563" spans="3:24" x14ac:dyDescent="0.25">
      <c r="C563" s="88">
        <v>559</v>
      </c>
      <c r="D563" s="92">
        <f t="shared" si="54"/>
        <v>-0.23584490740741726</v>
      </c>
      <c r="E563" s="92">
        <f>IF(H563=0,0,G563*('Atsipirkimo vertinimas'!$N$19)/12)</f>
        <v>-1.2664004629629728</v>
      </c>
      <c r="F563" s="92">
        <f>($G$4/('Atsipirkimo vertinimas'!$N$18*12-'Atsipirkimo vertinimas'!$N$20)*H563)</f>
        <v>0.97222222222222221</v>
      </c>
      <c r="G563" s="92">
        <f t="shared" si="57"/>
        <v>-310.1388888888913</v>
      </c>
      <c r="H563">
        <f>IF(C563-'Atsipirkimo vertinimas'!$N$20&lt;0,0,1)</f>
        <v>1</v>
      </c>
      <c r="I563" s="92"/>
      <c r="J563" s="92">
        <f t="shared" si="55"/>
        <v>0</v>
      </c>
      <c r="K563" s="92"/>
      <c r="L563" s="88"/>
      <c r="N563" s="88">
        <v>559</v>
      </c>
      <c r="O563" s="92">
        <f t="shared" si="56"/>
        <v>5.8333333333333355E-2</v>
      </c>
      <c r="P563" s="92">
        <f>IF($Z$64&lt;S563+(S563*(('Atsipirkimo vertinimas'!$N$19)/12)),($Z$64*T563)+(Q563*U563),S563+(S563*(('Atsipirkimo vertinimas'!$N$19)/12)))</f>
        <v>0</v>
      </c>
      <c r="Q563" s="92">
        <f>IF(T563=0,0,S563*('Atsipirkimo vertinimas'!$N$19)/12)</f>
        <v>0</v>
      </c>
      <c r="R563" s="92">
        <f t="shared" si="58"/>
        <v>0</v>
      </c>
      <c r="S563" s="92">
        <f t="shared" si="59"/>
        <v>0</v>
      </c>
      <c r="T563">
        <f>IF(N563-'Atsipirkimo vertinimas'!$N$20&lt;0,0,1)</f>
        <v>1</v>
      </c>
      <c r="U563">
        <f>IF(N563-'Atsipirkimo vertinimas'!$N$20&gt;=0,0,1)</f>
        <v>0</v>
      </c>
      <c r="V563" s="92"/>
      <c r="W563" s="92"/>
      <c r="X563" s="88"/>
    </row>
    <row r="564" spans="3:24" x14ac:dyDescent="0.25">
      <c r="C564" s="88">
        <v>560</v>
      </c>
      <c r="D564" s="92">
        <f t="shared" si="54"/>
        <v>-0.23981481481482481</v>
      </c>
      <c r="E564" s="92">
        <f>IF(H564=0,0,G564*('Atsipirkimo vertinimas'!$N$19)/12)</f>
        <v>-1.2703703703703804</v>
      </c>
      <c r="F564" s="92">
        <f>($G$4/('Atsipirkimo vertinimas'!$N$18*12-'Atsipirkimo vertinimas'!$N$20)*H564)</f>
        <v>0.97222222222222221</v>
      </c>
      <c r="G564" s="92">
        <f t="shared" si="57"/>
        <v>-311.11111111111353</v>
      </c>
      <c r="H564">
        <f>IF(C564-'Atsipirkimo vertinimas'!$N$20&lt;0,0,1)</f>
        <v>1</v>
      </c>
      <c r="I564" s="92"/>
      <c r="J564" s="92">
        <f t="shared" si="55"/>
        <v>0</v>
      </c>
      <c r="K564" s="92"/>
      <c r="L564" s="88"/>
      <c r="N564" s="88">
        <v>560</v>
      </c>
      <c r="O564" s="92">
        <f t="shared" si="56"/>
        <v>5.8333333333333355E-2</v>
      </c>
      <c r="P564" s="92">
        <f>IF($Z$64&lt;S564+(S564*(('Atsipirkimo vertinimas'!$N$19)/12)),($Z$64*T564)+(Q564*U564),S564+(S564*(('Atsipirkimo vertinimas'!$N$19)/12)))</f>
        <v>0</v>
      </c>
      <c r="Q564" s="92">
        <f>IF(T564=0,0,S564*('Atsipirkimo vertinimas'!$N$19)/12)</f>
        <v>0</v>
      </c>
      <c r="R564" s="92">
        <f t="shared" si="58"/>
        <v>0</v>
      </c>
      <c r="S564" s="92">
        <f t="shared" si="59"/>
        <v>0</v>
      </c>
      <c r="T564">
        <f>IF(N564-'Atsipirkimo vertinimas'!$N$20&lt;0,0,1)</f>
        <v>1</v>
      </c>
      <c r="U564">
        <f>IF(N564-'Atsipirkimo vertinimas'!$N$20&gt;=0,0,1)</f>
        <v>0</v>
      </c>
      <c r="V564" s="92"/>
      <c r="W564" s="92"/>
      <c r="X564" s="88"/>
    </row>
    <row r="565" spans="3:24" x14ac:dyDescent="0.25">
      <c r="C565" s="88">
        <v>561</v>
      </c>
      <c r="D565" s="92">
        <f t="shared" si="54"/>
        <v>-0.24378472222223213</v>
      </c>
      <c r="E565" s="92">
        <f>IF(H565=0,0,G565*('Atsipirkimo vertinimas'!$N$19)/12)</f>
        <v>-1.2743402777777877</v>
      </c>
      <c r="F565" s="92">
        <f>($G$4/('Atsipirkimo vertinimas'!$N$18*12-'Atsipirkimo vertinimas'!$N$20)*H565)</f>
        <v>0.97222222222222221</v>
      </c>
      <c r="G565" s="92">
        <f t="shared" si="57"/>
        <v>-312.08333333333576</v>
      </c>
      <c r="H565">
        <f>IF(C565-'Atsipirkimo vertinimas'!$N$20&lt;0,0,1)</f>
        <v>1</v>
      </c>
      <c r="I565" s="92"/>
      <c r="J565" s="92">
        <f t="shared" si="55"/>
        <v>0</v>
      </c>
      <c r="K565" s="92"/>
      <c r="L565" s="88"/>
      <c r="N565" s="88">
        <v>561</v>
      </c>
      <c r="O565" s="92">
        <f t="shared" si="56"/>
        <v>5.8333333333333355E-2</v>
      </c>
      <c r="P565" s="92">
        <f>IF($Z$64&lt;S565+(S565*(('Atsipirkimo vertinimas'!$N$19)/12)),($Z$64*T565)+(Q565*U565),S565+(S565*(('Atsipirkimo vertinimas'!$N$19)/12)))</f>
        <v>0</v>
      </c>
      <c r="Q565" s="92">
        <f>IF(T565=0,0,S565*('Atsipirkimo vertinimas'!$N$19)/12)</f>
        <v>0</v>
      </c>
      <c r="R565" s="92">
        <f t="shared" si="58"/>
        <v>0</v>
      </c>
      <c r="S565" s="92">
        <f t="shared" si="59"/>
        <v>0</v>
      </c>
      <c r="T565">
        <f>IF(N565-'Atsipirkimo vertinimas'!$N$20&lt;0,0,1)</f>
        <v>1</v>
      </c>
      <c r="U565">
        <f>IF(N565-'Atsipirkimo vertinimas'!$N$20&gt;=0,0,1)</f>
        <v>0</v>
      </c>
      <c r="V565" s="92"/>
      <c r="W565" s="92"/>
      <c r="X565" s="88"/>
    </row>
    <row r="566" spans="3:24" x14ac:dyDescent="0.25">
      <c r="C566" s="88">
        <v>562</v>
      </c>
      <c r="D566" s="92">
        <f t="shared" si="54"/>
        <v>-0.24775462962963968</v>
      </c>
      <c r="E566" s="92">
        <f>IF(H566=0,0,G566*('Atsipirkimo vertinimas'!$N$19)/12)</f>
        <v>-1.2783101851851952</v>
      </c>
      <c r="F566" s="92">
        <f>($G$4/('Atsipirkimo vertinimas'!$N$18*12-'Atsipirkimo vertinimas'!$N$20)*H566)</f>
        <v>0.97222222222222221</v>
      </c>
      <c r="G566" s="92">
        <f t="shared" si="57"/>
        <v>-313.05555555555799</v>
      </c>
      <c r="H566">
        <f>IF(C566-'Atsipirkimo vertinimas'!$N$20&lt;0,0,1)</f>
        <v>1</v>
      </c>
      <c r="I566" s="92"/>
      <c r="J566" s="92">
        <f t="shared" si="55"/>
        <v>0</v>
      </c>
      <c r="K566" s="92"/>
      <c r="L566" s="88"/>
      <c r="N566" s="88">
        <v>562</v>
      </c>
      <c r="O566" s="92">
        <f t="shared" si="56"/>
        <v>5.8333333333333355E-2</v>
      </c>
      <c r="P566" s="92">
        <f>IF($Z$64&lt;S566+(S566*(('Atsipirkimo vertinimas'!$N$19)/12)),($Z$64*T566)+(Q566*U566),S566+(S566*(('Atsipirkimo vertinimas'!$N$19)/12)))</f>
        <v>0</v>
      </c>
      <c r="Q566" s="92">
        <f>IF(T566=0,0,S566*('Atsipirkimo vertinimas'!$N$19)/12)</f>
        <v>0</v>
      </c>
      <c r="R566" s="92">
        <f t="shared" si="58"/>
        <v>0</v>
      </c>
      <c r="S566" s="92">
        <f t="shared" si="59"/>
        <v>0</v>
      </c>
      <c r="T566">
        <f>IF(N566-'Atsipirkimo vertinimas'!$N$20&lt;0,0,1)</f>
        <v>1</v>
      </c>
      <c r="U566">
        <f>IF(N566-'Atsipirkimo vertinimas'!$N$20&gt;=0,0,1)</f>
        <v>0</v>
      </c>
      <c r="V566" s="92"/>
      <c r="W566" s="92"/>
      <c r="X566" s="88"/>
    </row>
    <row r="567" spans="3:24" x14ac:dyDescent="0.25">
      <c r="C567" s="88">
        <v>563</v>
      </c>
      <c r="D567" s="92">
        <f t="shared" si="54"/>
        <v>-0.251724537037047</v>
      </c>
      <c r="E567" s="92">
        <f>IF(H567=0,0,G567*('Atsipirkimo vertinimas'!$N$19)/12)</f>
        <v>-1.2822800925926026</v>
      </c>
      <c r="F567" s="92">
        <f>($G$4/('Atsipirkimo vertinimas'!$N$18*12-'Atsipirkimo vertinimas'!$N$20)*H567)</f>
        <v>0.97222222222222221</v>
      </c>
      <c r="G567" s="92">
        <f t="shared" si="57"/>
        <v>-314.02777777778022</v>
      </c>
      <c r="H567">
        <f>IF(C567-'Atsipirkimo vertinimas'!$N$20&lt;0,0,1)</f>
        <v>1</v>
      </c>
      <c r="I567" s="92"/>
      <c r="J567" s="92">
        <f t="shared" si="55"/>
        <v>0</v>
      </c>
      <c r="K567" s="92"/>
      <c r="L567" s="91">
        <f>IF('Atsipirkimo vertinimas'!$N$18*12&gt;Grafikas!C567,SUM(D556:D567),0)</f>
        <v>0</v>
      </c>
      <c r="N567" s="88">
        <v>563</v>
      </c>
      <c r="O567" s="92">
        <f t="shared" si="56"/>
        <v>5.8333333333333355E-2</v>
      </c>
      <c r="P567" s="92">
        <f>IF($Z$64&lt;S567+(S567*(('Atsipirkimo vertinimas'!$N$19)/12)),($Z$64*T567)+(Q567*U567),S567+(S567*(('Atsipirkimo vertinimas'!$N$19)/12)))</f>
        <v>0</v>
      </c>
      <c r="Q567" s="92">
        <f>IF(T567=0,0,S567*('Atsipirkimo vertinimas'!$N$19)/12)</f>
        <v>0</v>
      </c>
      <c r="R567" s="92">
        <f t="shared" si="58"/>
        <v>0</v>
      </c>
      <c r="S567" s="92">
        <f t="shared" si="59"/>
        <v>0</v>
      </c>
      <c r="T567">
        <f>IF(N567-'Atsipirkimo vertinimas'!$N$20&lt;0,0,1)</f>
        <v>1</v>
      </c>
      <c r="U567">
        <f>IF(N567-'Atsipirkimo vertinimas'!$N$20&gt;=0,0,1)</f>
        <v>0</v>
      </c>
      <c r="V567" s="92"/>
      <c r="W567" s="92"/>
      <c r="X567" s="91">
        <f>IF('Atsipirkimo vertinimas'!$N$18*12&gt;Grafikas!C567,SUM(O556:O567),0)</f>
        <v>0</v>
      </c>
    </row>
    <row r="568" spans="3:24" x14ac:dyDescent="0.25">
      <c r="C568" s="88">
        <v>564</v>
      </c>
      <c r="D568" s="92">
        <f t="shared" si="54"/>
        <v>-0.25569444444445433</v>
      </c>
      <c r="E568" s="92">
        <f>IF(H568=0,0,G568*('Atsipirkimo vertinimas'!$N$19)/12)</f>
        <v>-1.2862500000000099</v>
      </c>
      <c r="F568" s="92">
        <f>($G$4/('Atsipirkimo vertinimas'!$N$18*12-'Atsipirkimo vertinimas'!$N$20)*H568)</f>
        <v>0.97222222222222221</v>
      </c>
      <c r="G568" s="92">
        <f t="shared" si="57"/>
        <v>-315.00000000000244</v>
      </c>
      <c r="H568">
        <f>IF(C568-'Atsipirkimo vertinimas'!$N$20&lt;0,0,1)</f>
        <v>1</v>
      </c>
      <c r="I568" s="92"/>
      <c r="J568" s="92">
        <f t="shared" si="55"/>
        <v>0</v>
      </c>
      <c r="K568" s="92"/>
      <c r="L568" s="88"/>
      <c r="N568" s="88">
        <v>564</v>
      </c>
      <c r="O568" s="92">
        <f t="shared" si="56"/>
        <v>5.8333333333333355E-2</v>
      </c>
      <c r="P568" s="92">
        <f>IF($Z$64&lt;S568+(S568*(('Atsipirkimo vertinimas'!$N$19)/12)),($Z$64*T568)+(Q568*U568),S568+(S568*(('Atsipirkimo vertinimas'!$N$19)/12)))</f>
        <v>0</v>
      </c>
      <c r="Q568" s="92">
        <f>IF(T568=0,0,S568*('Atsipirkimo vertinimas'!$N$19)/12)</f>
        <v>0</v>
      </c>
      <c r="R568" s="92">
        <f t="shared" si="58"/>
        <v>0</v>
      </c>
      <c r="S568" s="92">
        <f t="shared" si="59"/>
        <v>0</v>
      </c>
      <c r="T568">
        <f>IF(N568-'Atsipirkimo vertinimas'!$N$20&lt;0,0,1)</f>
        <v>1</v>
      </c>
      <c r="U568">
        <f>IF(N568-'Atsipirkimo vertinimas'!$N$20&gt;=0,0,1)</f>
        <v>0</v>
      </c>
      <c r="V568" s="92"/>
      <c r="W568" s="92"/>
      <c r="X568" s="88"/>
    </row>
    <row r="569" spans="3:24" x14ac:dyDescent="0.25">
      <c r="C569" s="88">
        <v>565</v>
      </c>
      <c r="D569" s="92">
        <f t="shared" si="54"/>
        <v>-0.25966435185186187</v>
      </c>
      <c r="E569" s="92">
        <f>IF(H569=0,0,G569*('Atsipirkimo vertinimas'!$N$19)/12)</f>
        <v>-1.2902199074074174</v>
      </c>
      <c r="F569" s="92">
        <f>($G$4/('Atsipirkimo vertinimas'!$N$18*12-'Atsipirkimo vertinimas'!$N$20)*H569)</f>
        <v>0.97222222222222221</v>
      </c>
      <c r="G569" s="92">
        <f t="shared" si="57"/>
        <v>-315.97222222222467</v>
      </c>
      <c r="H569">
        <f>IF(C569-'Atsipirkimo vertinimas'!$N$20&lt;0,0,1)</f>
        <v>1</v>
      </c>
      <c r="I569" s="92"/>
      <c r="J569" s="92">
        <f t="shared" si="55"/>
        <v>0</v>
      </c>
      <c r="K569" s="92"/>
      <c r="L569" s="88"/>
      <c r="N569" s="88">
        <v>565</v>
      </c>
      <c r="O569" s="92">
        <f t="shared" si="56"/>
        <v>5.8333333333333355E-2</v>
      </c>
      <c r="P569" s="92">
        <f>IF($Z$64&lt;S569+(S569*(('Atsipirkimo vertinimas'!$N$19)/12)),($Z$64*T569)+(Q569*U569),S569+(S569*(('Atsipirkimo vertinimas'!$N$19)/12)))</f>
        <v>0</v>
      </c>
      <c r="Q569" s="92">
        <f>IF(T569=0,0,S569*('Atsipirkimo vertinimas'!$N$19)/12)</f>
        <v>0</v>
      </c>
      <c r="R569" s="92">
        <f t="shared" si="58"/>
        <v>0</v>
      </c>
      <c r="S569" s="92">
        <f t="shared" si="59"/>
        <v>0</v>
      </c>
      <c r="T569">
        <f>IF(N569-'Atsipirkimo vertinimas'!$N$20&lt;0,0,1)</f>
        <v>1</v>
      </c>
      <c r="U569">
        <f>IF(N569-'Atsipirkimo vertinimas'!$N$20&gt;=0,0,1)</f>
        <v>0</v>
      </c>
      <c r="V569" s="92"/>
      <c r="W569" s="92"/>
      <c r="X569" s="88"/>
    </row>
    <row r="570" spans="3:24" x14ac:dyDescent="0.25">
      <c r="C570" s="88">
        <v>566</v>
      </c>
      <c r="D570" s="92">
        <f t="shared" si="54"/>
        <v>-0.26363425925926942</v>
      </c>
      <c r="E570" s="92">
        <f>IF(H570=0,0,G570*('Atsipirkimo vertinimas'!$N$19)/12)</f>
        <v>-1.294189814814825</v>
      </c>
      <c r="F570" s="92">
        <f>($G$4/('Atsipirkimo vertinimas'!$N$18*12-'Atsipirkimo vertinimas'!$N$20)*H570)</f>
        <v>0.97222222222222221</v>
      </c>
      <c r="G570" s="92">
        <f t="shared" si="57"/>
        <v>-316.9444444444469</v>
      </c>
      <c r="H570">
        <f>IF(C570-'Atsipirkimo vertinimas'!$N$20&lt;0,0,1)</f>
        <v>1</v>
      </c>
      <c r="I570" s="92"/>
      <c r="J570" s="92">
        <f t="shared" si="55"/>
        <v>0</v>
      </c>
      <c r="K570" s="92"/>
      <c r="L570" s="88"/>
      <c r="N570" s="88">
        <v>566</v>
      </c>
      <c r="O570" s="92">
        <f t="shared" si="56"/>
        <v>5.8333333333333355E-2</v>
      </c>
      <c r="P570" s="92">
        <f>IF($Z$64&lt;S570+(S570*(('Atsipirkimo vertinimas'!$N$19)/12)),($Z$64*T570)+(Q570*U570),S570+(S570*(('Atsipirkimo vertinimas'!$N$19)/12)))</f>
        <v>0</v>
      </c>
      <c r="Q570" s="92">
        <f>IF(T570=0,0,S570*('Atsipirkimo vertinimas'!$N$19)/12)</f>
        <v>0</v>
      </c>
      <c r="R570" s="92">
        <f t="shared" si="58"/>
        <v>0</v>
      </c>
      <c r="S570" s="92">
        <f t="shared" si="59"/>
        <v>0</v>
      </c>
      <c r="T570">
        <f>IF(N570-'Atsipirkimo vertinimas'!$N$20&lt;0,0,1)</f>
        <v>1</v>
      </c>
      <c r="U570">
        <f>IF(N570-'Atsipirkimo vertinimas'!$N$20&gt;=0,0,1)</f>
        <v>0</v>
      </c>
      <c r="V570" s="92"/>
      <c r="W570" s="92"/>
      <c r="X570" s="88"/>
    </row>
    <row r="571" spans="3:24" x14ac:dyDescent="0.25">
      <c r="C571" s="88">
        <v>567</v>
      </c>
      <c r="D571" s="92">
        <f t="shared" si="54"/>
        <v>-0.26760416666667675</v>
      </c>
      <c r="E571" s="92">
        <f>IF(H571=0,0,G571*('Atsipirkimo vertinimas'!$N$19)/12)</f>
        <v>-1.2981597222222323</v>
      </c>
      <c r="F571" s="92">
        <f>($G$4/('Atsipirkimo vertinimas'!$N$18*12-'Atsipirkimo vertinimas'!$N$20)*H571)</f>
        <v>0.97222222222222221</v>
      </c>
      <c r="G571" s="92">
        <f t="shared" si="57"/>
        <v>-317.91666666666913</v>
      </c>
      <c r="H571">
        <f>IF(C571-'Atsipirkimo vertinimas'!$N$20&lt;0,0,1)</f>
        <v>1</v>
      </c>
      <c r="I571" s="92"/>
      <c r="J571" s="92">
        <f t="shared" si="55"/>
        <v>0</v>
      </c>
      <c r="K571" s="92"/>
      <c r="L571" s="88"/>
      <c r="N571" s="88">
        <v>567</v>
      </c>
      <c r="O571" s="92">
        <f t="shared" si="56"/>
        <v>5.8333333333333355E-2</v>
      </c>
      <c r="P571" s="92">
        <f>IF($Z$64&lt;S571+(S571*(('Atsipirkimo vertinimas'!$N$19)/12)),($Z$64*T571)+(Q571*U571),S571+(S571*(('Atsipirkimo vertinimas'!$N$19)/12)))</f>
        <v>0</v>
      </c>
      <c r="Q571" s="92">
        <f>IF(T571=0,0,S571*('Atsipirkimo vertinimas'!$N$19)/12)</f>
        <v>0</v>
      </c>
      <c r="R571" s="92">
        <f t="shared" si="58"/>
        <v>0</v>
      </c>
      <c r="S571" s="92">
        <f t="shared" si="59"/>
        <v>0</v>
      </c>
      <c r="T571">
        <f>IF(N571-'Atsipirkimo vertinimas'!$N$20&lt;0,0,1)</f>
        <v>1</v>
      </c>
      <c r="U571">
        <f>IF(N571-'Atsipirkimo vertinimas'!$N$20&gt;=0,0,1)</f>
        <v>0</v>
      </c>
      <c r="V571" s="92"/>
      <c r="W571" s="92"/>
      <c r="X571" s="88"/>
    </row>
    <row r="572" spans="3:24" x14ac:dyDescent="0.25">
      <c r="C572" s="88">
        <v>568</v>
      </c>
      <c r="D572" s="92">
        <f t="shared" si="54"/>
        <v>-0.27157407407408407</v>
      </c>
      <c r="E572" s="92">
        <f>IF(H572=0,0,G572*('Atsipirkimo vertinimas'!$N$19)/12)</f>
        <v>-1.3021296296296396</v>
      </c>
      <c r="F572" s="92">
        <f>($G$4/('Atsipirkimo vertinimas'!$N$18*12-'Atsipirkimo vertinimas'!$N$20)*H572)</f>
        <v>0.97222222222222221</v>
      </c>
      <c r="G572" s="92">
        <f t="shared" si="57"/>
        <v>-318.88888888889136</v>
      </c>
      <c r="H572">
        <f>IF(C572-'Atsipirkimo vertinimas'!$N$20&lt;0,0,1)</f>
        <v>1</v>
      </c>
      <c r="I572" s="92"/>
      <c r="J572" s="92">
        <f t="shared" si="55"/>
        <v>0</v>
      </c>
      <c r="K572" s="92"/>
      <c r="L572" s="88"/>
      <c r="N572" s="88">
        <v>568</v>
      </c>
      <c r="O572" s="92">
        <f t="shared" si="56"/>
        <v>5.8333333333333355E-2</v>
      </c>
      <c r="P572" s="92">
        <f>IF($Z$64&lt;S572+(S572*(('Atsipirkimo vertinimas'!$N$19)/12)),($Z$64*T572)+(Q572*U572),S572+(S572*(('Atsipirkimo vertinimas'!$N$19)/12)))</f>
        <v>0</v>
      </c>
      <c r="Q572" s="92">
        <f>IF(T572=0,0,S572*('Atsipirkimo vertinimas'!$N$19)/12)</f>
        <v>0</v>
      </c>
      <c r="R572" s="92">
        <f t="shared" si="58"/>
        <v>0</v>
      </c>
      <c r="S572" s="92">
        <f t="shared" si="59"/>
        <v>0</v>
      </c>
      <c r="T572">
        <f>IF(N572-'Atsipirkimo vertinimas'!$N$20&lt;0,0,1)</f>
        <v>1</v>
      </c>
      <c r="U572">
        <f>IF(N572-'Atsipirkimo vertinimas'!$N$20&gt;=0,0,1)</f>
        <v>0</v>
      </c>
      <c r="V572" s="92"/>
      <c r="W572" s="92"/>
      <c r="X572" s="88"/>
    </row>
    <row r="573" spans="3:24" x14ac:dyDescent="0.25">
      <c r="C573" s="88">
        <v>569</v>
      </c>
      <c r="D573" s="92">
        <f t="shared" si="54"/>
        <v>-0.27554398148149162</v>
      </c>
      <c r="E573" s="92">
        <f>IF(H573=0,0,G573*('Atsipirkimo vertinimas'!$N$19)/12)</f>
        <v>-1.3060995370370472</v>
      </c>
      <c r="F573" s="92">
        <f>($G$4/('Atsipirkimo vertinimas'!$N$18*12-'Atsipirkimo vertinimas'!$N$20)*H573)</f>
        <v>0.97222222222222221</v>
      </c>
      <c r="G573" s="92">
        <f t="shared" si="57"/>
        <v>-319.86111111111359</v>
      </c>
      <c r="H573">
        <f>IF(C573-'Atsipirkimo vertinimas'!$N$20&lt;0,0,1)</f>
        <v>1</v>
      </c>
      <c r="I573" s="92"/>
      <c r="J573" s="92">
        <f t="shared" si="55"/>
        <v>0</v>
      </c>
      <c r="K573" s="92"/>
      <c r="L573" s="88"/>
      <c r="N573" s="88">
        <v>569</v>
      </c>
      <c r="O573" s="92">
        <f t="shared" si="56"/>
        <v>5.8333333333333355E-2</v>
      </c>
      <c r="P573" s="92">
        <f>IF($Z$64&lt;S573+(S573*(('Atsipirkimo vertinimas'!$N$19)/12)),($Z$64*T573)+(Q573*U573),S573+(S573*(('Atsipirkimo vertinimas'!$N$19)/12)))</f>
        <v>0</v>
      </c>
      <c r="Q573" s="92">
        <f>IF(T573=0,0,S573*('Atsipirkimo vertinimas'!$N$19)/12)</f>
        <v>0</v>
      </c>
      <c r="R573" s="92">
        <f t="shared" si="58"/>
        <v>0</v>
      </c>
      <c r="S573" s="92">
        <f t="shared" si="59"/>
        <v>0</v>
      </c>
      <c r="T573">
        <f>IF(N573-'Atsipirkimo vertinimas'!$N$20&lt;0,0,1)</f>
        <v>1</v>
      </c>
      <c r="U573">
        <f>IF(N573-'Atsipirkimo vertinimas'!$N$20&gt;=0,0,1)</f>
        <v>0</v>
      </c>
      <c r="V573" s="92"/>
      <c r="W573" s="92"/>
      <c r="X573" s="88"/>
    </row>
    <row r="574" spans="3:24" x14ac:dyDescent="0.25">
      <c r="C574" s="88">
        <v>570</v>
      </c>
      <c r="D574" s="92">
        <f t="shared" si="54"/>
        <v>-0.27951388888889916</v>
      </c>
      <c r="E574" s="92">
        <f>IF(H574=0,0,G574*('Atsipirkimo vertinimas'!$N$19)/12)</f>
        <v>-1.3100694444444547</v>
      </c>
      <c r="F574" s="92">
        <f>($G$4/('Atsipirkimo vertinimas'!$N$18*12-'Atsipirkimo vertinimas'!$N$20)*H574)</f>
        <v>0.97222222222222221</v>
      </c>
      <c r="G574" s="92">
        <f t="shared" si="57"/>
        <v>-320.83333333333582</v>
      </c>
      <c r="H574">
        <f>IF(C574-'Atsipirkimo vertinimas'!$N$20&lt;0,0,1)</f>
        <v>1</v>
      </c>
      <c r="I574" s="92"/>
      <c r="J574" s="92">
        <f t="shared" si="55"/>
        <v>0</v>
      </c>
      <c r="K574" s="92"/>
      <c r="L574" s="88"/>
      <c r="N574" s="88">
        <v>570</v>
      </c>
      <c r="O574" s="92">
        <f t="shared" si="56"/>
        <v>5.8333333333333355E-2</v>
      </c>
      <c r="P574" s="92">
        <f>IF($Z$64&lt;S574+(S574*(('Atsipirkimo vertinimas'!$N$19)/12)),($Z$64*T574)+(Q574*U574),S574+(S574*(('Atsipirkimo vertinimas'!$N$19)/12)))</f>
        <v>0</v>
      </c>
      <c r="Q574" s="92">
        <f>IF(T574=0,0,S574*('Atsipirkimo vertinimas'!$N$19)/12)</f>
        <v>0</v>
      </c>
      <c r="R574" s="92">
        <f t="shared" si="58"/>
        <v>0</v>
      </c>
      <c r="S574" s="92">
        <f t="shared" si="59"/>
        <v>0</v>
      </c>
      <c r="T574">
        <f>IF(N574-'Atsipirkimo vertinimas'!$N$20&lt;0,0,1)</f>
        <v>1</v>
      </c>
      <c r="U574">
        <f>IF(N574-'Atsipirkimo vertinimas'!$N$20&gt;=0,0,1)</f>
        <v>0</v>
      </c>
      <c r="V574" s="92"/>
      <c r="W574" s="92"/>
      <c r="X574" s="88"/>
    </row>
    <row r="575" spans="3:24" x14ac:dyDescent="0.25">
      <c r="C575" s="88">
        <v>571</v>
      </c>
      <c r="D575" s="92">
        <f t="shared" si="54"/>
        <v>-0.28348379629630649</v>
      </c>
      <c r="E575" s="92">
        <f>IF(H575=0,0,G575*('Atsipirkimo vertinimas'!$N$19)/12)</f>
        <v>-1.314039351851862</v>
      </c>
      <c r="F575" s="92">
        <f>($G$4/('Atsipirkimo vertinimas'!$N$18*12-'Atsipirkimo vertinimas'!$N$20)*H575)</f>
        <v>0.97222222222222221</v>
      </c>
      <c r="G575" s="92">
        <f t="shared" si="57"/>
        <v>-321.80555555555804</v>
      </c>
      <c r="H575">
        <f>IF(C575-'Atsipirkimo vertinimas'!$N$20&lt;0,0,1)</f>
        <v>1</v>
      </c>
      <c r="I575" s="92"/>
      <c r="J575" s="92">
        <f t="shared" si="55"/>
        <v>0</v>
      </c>
      <c r="K575" s="92"/>
      <c r="L575" s="88"/>
      <c r="N575" s="88">
        <v>571</v>
      </c>
      <c r="O575" s="92">
        <f t="shared" si="56"/>
        <v>5.8333333333333355E-2</v>
      </c>
      <c r="P575" s="92">
        <f>IF($Z$64&lt;S575+(S575*(('Atsipirkimo vertinimas'!$N$19)/12)),($Z$64*T575)+(Q575*U575),S575+(S575*(('Atsipirkimo vertinimas'!$N$19)/12)))</f>
        <v>0</v>
      </c>
      <c r="Q575" s="92">
        <f>IF(T575=0,0,S575*('Atsipirkimo vertinimas'!$N$19)/12)</f>
        <v>0</v>
      </c>
      <c r="R575" s="92">
        <f t="shared" si="58"/>
        <v>0</v>
      </c>
      <c r="S575" s="92">
        <f t="shared" si="59"/>
        <v>0</v>
      </c>
      <c r="T575">
        <f>IF(N575-'Atsipirkimo vertinimas'!$N$20&lt;0,0,1)</f>
        <v>1</v>
      </c>
      <c r="U575">
        <f>IF(N575-'Atsipirkimo vertinimas'!$N$20&gt;=0,0,1)</f>
        <v>0</v>
      </c>
      <c r="V575" s="92"/>
      <c r="W575" s="92"/>
      <c r="X575" s="88"/>
    </row>
    <row r="576" spans="3:24" x14ac:dyDescent="0.25">
      <c r="C576" s="88">
        <v>572</v>
      </c>
      <c r="D576" s="92">
        <f t="shared" si="54"/>
        <v>-0.28745370370371381</v>
      </c>
      <c r="E576" s="92">
        <f>IF(H576=0,0,G576*('Atsipirkimo vertinimas'!$N$19)/12)</f>
        <v>-1.3180092592592694</v>
      </c>
      <c r="F576" s="92">
        <f>($G$4/('Atsipirkimo vertinimas'!$N$18*12-'Atsipirkimo vertinimas'!$N$20)*H576)</f>
        <v>0.97222222222222221</v>
      </c>
      <c r="G576" s="92">
        <f t="shared" si="57"/>
        <v>-322.77777777778027</v>
      </c>
      <c r="H576">
        <f>IF(C576-'Atsipirkimo vertinimas'!$N$20&lt;0,0,1)</f>
        <v>1</v>
      </c>
      <c r="I576" s="92"/>
      <c r="J576" s="92">
        <f t="shared" si="55"/>
        <v>0</v>
      </c>
      <c r="K576" s="92"/>
      <c r="L576" s="88"/>
      <c r="N576" s="88">
        <v>572</v>
      </c>
      <c r="O576" s="92">
        <f t="shared" si="56"/>
        <v>5.8333333333333355E-2</v>
      </c>
      <c r="P576" s="92">
        <f>IF($Z$64&lt;S576+(S576*(('Atsipirkimo vertinimas'!$N$19)/12)),($Z$64*T576)+(Q576*U576),S576+(S576*(('Atsipirkimo vertinimas'!$N$19)/12)))</f>
        <v>0</v>
      </c>
      <c r="Q576" s="92">
        <f>IF(T576=0,0,S576*('Atsipirkimo vertinimas'!$N$19)/12)</f>
        <v>0</v>
      </c>
      <c r="R576" s="92">
        <f t="shared" si="58"/>
        <v>0</v>
      </c>
      <c r="S576" s="92">
        <f t="shared" si="59"/>
        <v>0</v>
      </c>
      <c r="T576">
        <f>IF(N576-'Atsipirkimo vertinimas'!$N$20&lt;0,0,1)</f>
        <v>1</v>
      </c>
      <c r="U576">
        <f>IF(N576-'Atsipirkimo vertinimas'!$N$20&gt;=0,0,1)</f>
        <v>0</v>
      </c>
      <c r="V576" s="92"/>
      <c r="W576" s="92"/>
      <c r="X576" s="88"/>
    </row>
    <row r="577" spans="3:24" x14ac:dyDescent="0.25">
      <c r="C577" s="88">
        <v>573</v>
      </c>
      <c r="D577" s="92">
        <f t="shared" si="54"/>
        <v>-0.29142361111112136</v>
      </c>
      <c r="E577" s="92">
        <f>IF(H577=0,0,G577*('Atsipirkimo vertinimas'!$N$19)/12)</f>
        <v>-1.3219791666666769</v>
      </c>
      <c r="F577" s="92">
        <f>($G$4/('Atsipirkimo vertinimas'!$N$18*12-'Atsipirkimo vertinimas'!$N$20)*H577)</f>
        <v>0.97222222222222221</v>
      </c>
      <c r="G577" s="92">
        <f t="shared" si="57"/>
        <v>-323.7500000000025</v>
      </c>
      <c r="H577">
        <f>IF(C577-'Atsipirkimo vertinimas'!$N$20&lt;0,0,1)</f>
        <v>1</v>
      </c>
      <c r="I577" s="92"/>
      <c r="J577" s="92">
        <f t="shared" si="55"/>
        <v>0</v>
      </c>
      <c r="K577" s="92"/>
      <c r="L577" s="88"/>
      <c r="N577" s="88">
        <v>573</v>
      </c>
      <c r="O577" s="92">
        <f t="shared" si="56"/>
        <v>5.8333333333333355E-2</v>
      </c>
      <c r="P577" s="92">
        <f>IF($Z$64&lt;S577+(S577*(('Atsipirkimo vertinimas'!$N$19)/12)),($Z$64*T577)+(Q577*U577),S577+(S577*(('Atsipirkimo vertinimas'!$N$19)/12)))</f>
        <v>0</v>
      </c>
      <c r="Q577" s="92">
        <f>IF(T577=0,0,S577*('Atsipirkimo vertinimas'!$N$19)/12)</f>
        <v>0</v>
      </c>
      <c r="R577" s="92">
        <f t="shared" si="58"/>
        <v>0</v>
      </c>
      <c r="S577" s="92">
        <f t="shared" si="59"/>
        <v>0</v>
      </c>
      <c r="T577">
        <f>IF(N577-'Atsipirkimo vertinimas'!$N$20&lt;0,0,1)</f>
        <v>1</v>
      </c>
      <c r="U577">
        <f>IF(N577-'Atsipirkimo vertinimas'!$N$20&gt;=0,0,1)</f>
        <v>0</v>
      </c>
      <c r="V577" s="92"/>
      <c r="W577" s="92"/>
      <c r="X577" s="88"/>
    </row>
    <row r="578" spans="3:24" x14ac:dyDescent="0.25">
      <c r="C578" s="88">
        <v>574</v>
      </c>
      <c r="D578" s="92">
        <f t="shared" si="54"/>
        <v>-0.29539351851852891</v>
      </c>
      <c r="E578" s="92">
        <f>IF(H578=0,0,G578*('Atsipirkimo vertinimas'!$N$19)/12)</f>
        <v>-1.3259490740740845</v>
      </c>
      <c r="F578" s="92">
        <f>($G$4/('Atsipirkimo vertinimas'!$N$18*12-'Atsipirkimo vertinimas'!$N$20)*H578)</f>
        <v>0.97222222222222221</v>
      </c>
      <c r="G578" s="92">
        <f t="shared" si="57"/>
        <v>-324.72222222222473</v>
      </c>
      <c r="H578">
        <f>IF(C578-'Atsipirkimo vertinimas'!$N$20&lt;0,0,1)</f>
        <v>1</v>
      </c>
      <c r="I578" s="92"/>
      <c r="J578" s="92">
        <f t="shared" si="55"/>
        <v>0</v>
      </c>
      <c r="K578" s="92"/>
      <c r="L578" s="88"/>
      <c r="N578" s="88">
        <v>574</v>
      </c>
      <c r="O578" s="92">
        <f t="shared" si="56"/>
        <v>5.8333333333333355E-2</v>
      </c>
      <c r="P578" s="92">
        <f>IF($Z$64&lt;S578+(S578*(('Atsipirkimo vertinimas'!$N$19)/12)),($Z$64*T578)+(Q578*U578),S578+(S578*(('Atsipirkimo vertinimas'!$N$19)/12)))</f>
        <v>0</v>
      </c>
      <c r="Q578" s="92">
        <f>IF(T578=0,0,S578*('Atsipirkimo vertinimas'!$N$19)/12)</f>
        <v>0</v>
      </c>
      <c r="R578" s="92">
        <f t="shared" si="58"/>
        <v>0</v>
      </c>
      <c r="S578" s="92">
        <f t="shared" si="59"/>
        <v>0</v>
      </c>
      <c r="T578">
        <f>IF(N578-'Atsipirkimo vertinimas'!$N$20&lt;0,0,1)</f>
        <v>1</v>
      </c>
      <c r="U578">
        <f>IF(N578-'Atsipirkimo vertinimas'!$N$20&gt;=0,0,1)</f>
        <v>0</v>
      </c>
      <c r="V578" s="92"/>
      <c r="W578" s="92"/>
      <c r="X578" s="88"/>
    </row>
    <row r="579" spans="3:24" x14ac:dyDescent="0.25">
      <c r="C579" s="88">
        <v>575</v>
      </c>
      <c r="D579" s="92">
        <f t="shared" si="54"/>
        <v>-0.29936342592593623</v>
      </c>
      <c r="E579" s="92">
        <f>IF(H579=0,0,G579*('Atsipirkimo vertinimas'!$N$19)/12)</f>
        <v>-1.3299189814814918</v>
      </c>
      <c r="F579" s="92">
        <f>($G$4/('Atsipirkimo vertinimas'!$N$18*12-'Atsipirkimo vertinimas'!$N$20)*H579)</f>
        <v>0.97222222222222221</v>
      </c>
      <c r="G579" s="92">
        <f t="shared" si="57"/>
        <v>-325.69444444444696</v>
      </c>
      <c r="H579">
        <f>IF(C579-'Atsipirkimo vertinimas'!$N$20&lt;0,0,1)</f>
        <v>1</v>
      </c>
      <c r="I579" s="92"/>
      <c r="J579" s="92">
        <f t="shared" si="55"/>
        <v>0</v>
      </c>
      <c r="K579" s="92"/>
      <c r="L579" s="91">
        <f>IF('Atsipirkimo vertinimas'!$N$18*12&gt;Grafikas!C579,SUM(D568:D579),0)</f>
        <v>0</v>
      </c>
      <c r="N579" s="88">
        <v>575</v>
      </c>
      <c r="O579" s="92">
        <f t="shared" si="56"/>
        <v>5.8333333333333355E-2</v>
      </c>
      <c r="P579" s="92">
        <f>IF($Z$64&lt;S579+(S579*(('Atsipirkimo vertinimas'!$N$19)/12)),($Z$64*T579)+(Q579*U579),S579+(S579*(('Atsipirkimo vertinimas'!$N$19)/12)))</f>
        <v>0</v>
      </c>
      <c r="Q579" s="92">
        <f>IF(T579=0,0,S579*('Atsipirkimo vertinimas'!$N$19)/12)</f>
        <v>0</v>
      </c>
      <c r="R579" s="92">
        <f t="shared" si="58"/>
        <v>0</v>
      </c>
      <c r="S579" s="92">
        <f t="shared" si="59"/>
        <v>0</v>
      </c>
      <c r="T579">
        <f>IF(N579-'Atsipirkimo vertinimas'!$N$20&lt;0,0,1)</f>
        <v>1</v>
      </c>
      <c r="U579">
        <f>IF(N579-'Atsipirkimo vertinimas'!$N$20&gt;=0,0,1)</f>
        <v>0</v>
      </c>
      <c r="V579" s="92"/>
      <c r="W579" s="92"/>
      <c r="X579" s="91">
        <f>IF('Atsipirkimo vertinimas'!$N$18*12&gt;Grafikas!C579,SUM(O568:O579),0)</f>
        <v>0</v>
      </c>
    </row>
    <row r="580" spans="3:24" x14ac:dyDescent="0.25">
      <c r="C580" s="88">
        <v>576</v>
      </c>
      <c r="D580" s="92">
        <f t="shared" si="54"/>
        <v>-0.30333333333334378</v>
      </c>
      <c r="E580" s="92">
        <f>IF(H580=0,0,G580*('Atsipirkimo vertinimas'!$N$19)/12)</f>
        <v>-1.3338888888888993</v>
      </c>
      <c r="F580" s="92">
        <f>($G$4/('Atsipirkimo vertinimas'!$N$18*12-'Atsipirkimo vertinimas'!$N$20)*H580)</f>
        <v>0.97222222222222221</v>
      </c>
      <c r="G580" s="92">
        <f t="shared" si="57"/>
        <v>-326.66666666666919</v>
      </c>
      <c r="H580">
        <f>IF(C580-'Atsipirkimo vertinimas'!$N$20&lt;0,0,1)</f>
        <v>1</v>
      </c>
      <c r="I580" s="92"/>
      <c r="J580" s="92">
        <f t="shared" si="55"/>
        <v>0</v>
      </c>
      <c r="K580" s="92"/>
      <c r="L580" s="88"/>
      <c r="N580" s="88">
        <v>576</v>
      </c>
      <c r="O580" s="92">
        <f t="shared" si="56"/>
        <v>5.8333333333333355E-2</v>
      </c>
      <c r="P580" s="92">
        <f>IF($Z$64&lt;S580+(S580*(('Atsipirkimo vertinimas'!$N$19)/12)),($Z$64*T580)+(Q580*U580),S580+(S580*(('Atsipirkimo vertinimas'!$N$19)/12)))</f>
        <v>0</v>
      </c>
      <c r="Q580" s="92">
        <f>IF(T580=0,0,S580*('Atsipirkimo vertinimas'!$N$19)/12)</f>
        <v>0</v>
      </c>
      <c r="R580" s="92">
        <f t="shared" si="58"/>
        <v>0</v>
      </c>
      <c r="S580" s="92">
        <f t="shared" si="59"/>
        <v>0</v>
      </c>
      <c r="T580">
        <f>IF(N580-'Atsipirkimo vertinimas'!$N$20&lt;0,0,1)</f>
        <v>1</v>
      </c>
      <c r="U580">
        <f>IF(N580-'Atsipirkimo vertinimas'!$N$20&gt;=0,0,1)</f>
        <v>0</v>
      </c>
      <c r="V580" s="92"/>
      <c r="W580" s="92"/>
      <c r="X580" s="88"/>
    </row>
    <row r="581" spans="3:24" x14ac:dyDescent="0.25">
      <c r="C581" s="88">
        <v>577</v>
      </c>
      <c r="D581" s="92">
        <f t="shared" ref="D581:D603" si="60">IF(H581=0,E581+F581,E581+F581+$K$4)</f>
        <v>-0.3073032407407511</v>
      </c>
      <c r="E581" s="92">
        <f>IF(H581=0,0,G581*('Atsipirkimo vertinimas'!$N$19)/12)</f>
        <v>-1.3378587962963067</v>
      </c>
      <c r="F581" s="92">
        <f>($G$4/('Atsipirkimo vertinimas'!$N$18*12-'Atsipirkimo vertinimas'!$N$20)*H581)</f>
        <v>0.97222222222222221</v>
      </c>
      <c r="G581" s="92">
        <f t="shared" si="57"/>
        <v>-327.63888888889142</v>
      </c>
      <c r="H581">
        <f>IF(C581-'Atsipirkimo vertinimas'!$N$20&lt;0,0,1)</f>
        <v>1</v>
      </c>
      <c r="I581" s="92"/>
      <c r="J581" s="92">
        <f t="shared" ref="J581:J603" si="61">IF(H581=0,G581*(0.03)/12,0)</f>
        <v>0</v>
      </c>
      <c r="K581" s="92"/>
      <c r="L581" s="88"/>
      <c r="N581" s="88">
        <v>577</v>
      </c>
      <c r="O581" s="92">
        <f t="shared" ref="O581:O603" si="62">IF(T581=0,0,($X$4+P581))</f>
        <v>5.8333333333333355E-2</v>
      </c>
      <c r="P581" s="92">
        <f>IF($Z$64&lt;S581+(S581*(('Atsipirkimo vertinimas'!$N$19)/12)),($Z$64*T581)+(Q581*U581),S581+(S581*(('Atsipirkimo vertinimas'!$N$19)/12)))</f>
        <v>0</v>
      </c>
      <c r="Q581" s="92">
        <f>IF(T581=0,0,S581*('Atsipirkimo vertinimas'!$N$19)/12)</f>
        <v>0</v>
      </c>
      <c r="R581" s="92">
        <f t="shared" si="58"/>
        <v>0</v>
      </c>
      <c r="S581" s="92">
        <f t="shared" si="59"/>
        <v>0</v>
      </c>
      <c r="T581">
        <f>IF(N581-'Atsipirkimo vertinimas'!$N$20&lt;0,0,1)</f>
        <v>1</v>
      </c>
      <c r="U581">
        <f>IF(N581-'Atsipirkimo vertinimas'!$N$20&gt;=0,0,1)</f>
        <v>0</v>
      </c>
      <c r="V581" s="92"/>
      <c r="W581" s="92"/>
      <c r="X581" s="88"/>
    </row>
    <row r="582" spans="3:24" x14ac:dyDescent="0.25">
      <c r="C582" s="88">
        <v>578</v>
      </c>
      <c r="D582" s="92">
        <f t="shared" si="60"/>
        <v>-0.31127314814815865</v>
      </c>
      <c r="E582" s="92">
        <f>IF(H582=0,0,G582*('Atsipirkimo vertinimas'!$N$19)/12)</f>
        <v>-1.3418287037037142</v>
      </c>
      <c r="F582" s="92">
        <f>($G$4/('Atsipirkimo vertinimas'!$N$18*12-'Atsipirkimo vertinimas'!$N$20)*H582)</f>
        <v>0.97222222222222221</v>
      </c>
      <c r="G582" s="92">
        <f t="shared" ref="G582:G603" si="63">(G581-F581)</f>
        <v>-328.61111111111364</v>
      </c>
      <c r="H582">
        <f>IF(C582-'Atsipirkimo vertinimas'!$N$20&lt;0,0,1)</f>
        <v>1</v>
      </c>
      <c r="I582" s="92"/>
      <c r="J582" s="92">
        <f t="shared" si="61"/>
        <v>0</v>
      </c>
      <c r="K582" s="92"/>
      <c r="L582" s="88"/>
      <c r="N582" s="88">
        <v>578</v>
      </c>
      <c r="O582" s="92">
        <f t="shared" si="62"/>
        <v>5.8333333333333355E-2</v>
      </c>
      <c r="P582" s="92">
        <f>IF($Z$64&lt;S582+(S582*(('Atsipirkimo vertinimas'!$N$19)/12)),($Z$64*T582)+(Q582*U582),S582+(S582*(('Atsipirkimo vertinimas'!$N$19)/12)))</f>
        <v>0</v>
      </c>
      <c r="Q582" s="92">
        <f>IF(T582=0,0,S582*('Atsipirkimo vertinimas'!$N$19)/12)</f>
        <v>0</v>
      </c>
      <c r="R582" s="92">
        <f t="shared" ref="R582:R603" si="64">(P582-Q582)*T582</f>
        <v>0</v>
      </c>
      <c r="S582" s="92">
        <f t="shared" ref="S582:S603" si="65">(S581-R581)</f>
        <v>0</v>
      </c>
      <c r="T582">
        <f>IF(N582-'Atsipirkimo vertinimas'!$N$20&lt;0,0,1)</f>
        <v>1</v>
      </c>
      <c r="U582">
        <f>IF(N582-'Atsipirkimo vertinimas'!$N$20&gt;=0,0,1)</f>
        <v>0</v>
      </c>
      <c r="V582" s="92"/>
      <c r="W582" s="92"/>
      <c r="X582" s="88"/>
    </row>
    <row r="583" spans="3:24" x14ac:dyDescent="0.25">
      <c r="C583" s="88">
        <v>579</v>
      </c>
      <c r="D583" s="92">
        <f t="shared" si="60"/>
        <v>-0.31524305555556575</v>
      </c>
      <c r="E583" s="92">
        <f>IF(H583=0,0,G583*('Atsipirkimo vertinimas'!$N$19)/12)</f>
        <v>-1.3457986111111213</v>
      </c>
      <c r="F583" s="92">
        <f>($G$4/('Atsipirkimo vertinimas'!$N$18*12-'Atsipirkimo vertinimas'!$N$20)*H583)</f>
        <v>0.97222222222222221</v>
      </c>
      <c r="G583" s="92">
        <f t="shared" si="63"/>
        <v>-329.58333333333587</v>
      </c>
      <c r="H583">
        <f>IF(C583-'Atsipirkimo vertinimas'!$N$20&lt;0,0,1)</f>
        <v>1</v>
      </c>
      <c r="I583" s="92"/>
      <c r="J583" s="92">
        <f t="shared" si="61"/>
        <v>0</v>
      </c>
      <c r="K583" s="92"/>
      <c r="L583" s="88"/>
      <c r="N583" s="88">
        <v>579</v>
      </c>
      <c r="O583" s="92">
        <f t="shared" si="62"/>
        <v>5.8333333333333355E-2</v>
      </c>
      <c r="P583" s="92">
        <f>IF($Z$64&lt;S583+(S583*(('Atsipirkimo vertinimas'!$N$19)/12)),($Z$64*T583)+(Q583*U583),S583+(S583*(('Atsipirkimo vertinimas'!$N$19)/12)))</f>
        <v>0</v>
      </c>
      <c r="Q583" s="92">
        <f>IF(T583=0,0,S583*('Atsipirkimo vertinimas'!$N$19)/12)</f>
        <v>0</v>
      </c>
      <c r="R583" s="92">
        <f t="shared" si="64"/>
        <v>0</v>
      </c>
      <c r="S583" s="92">
        <f t="shared" si="65"/>
        <v>0</v>
      </c>
      <c r="T583">
        <f>IF(N583-'Atsipirkimo vertinimas'!$N$20&lt;0,0,1)</f>
        <v>1</v>
      </c>
      <c r="U583">
        <f>IF(N583-'Atsipirkimo vertinimas'!$N$20&gt;=0,0,1)</f>
        <v>0</v>
      </c>
      <c r="V583" s="92"/>
      <c r="W583" s="92"/>
      <c r="X583" s="88"/>
    </row>
    <row r="584" spans="3:24" x14ac:dyDescent="0.25">
      <c r="C584" s="88">
        <v>580</v>
      </c>
      <c r="D584" s="92">
        <f t="shared" si="60"/>
        <v>-0.3192129629629733</v>
      </c>
      <c r="E584" s="92">
        <f>IF(H584=0,0,G584*('Atsipirkimo vertinimas'!$N$19)/12)</f>
        <v>-1.3497685185185289</v>
      </c>
      <c r="F584" s="92">
        <f>($G$4/('Atsipirkimo vertinimas'!$N$18*12-'Atsipirkimo vertinimas'!$N$20)*H584)</f>
        <v>0.97222222222222221</v>
      </c>
      <c r="G584" s="92">
        <f t="shared" si="63"/>
        <v>-330.5555555555581</v>
      </c>
      <c r="H584">
        <f>IF(C584-'Atsipirkimo vertinimas'!$N$20&lt;0,0,1)</f>
        <v>1</v>
      </c>
      <c r="I584" s="92"/>
      <c r="J584" s="92">
        <f t="shared" si="61"/>
        <v>0</v>
      </c>
      <c r="K584" s="92"/>
      <c r="L584" s="88"/>
      <c r="N584" s="88">
        <v>580</v>
      </c>
      <c r="O584" s="92">
        <f t="shared" si="62"/>
        <v>5.8333333333333355E-2</v>
      </c>
      <c r="P584" s="92">
        <f>IF($Z$64&lt;S584+(S584*(('Atsipirkimo vertinimas'!$N$19)/12)),($Z$64*T584)+(Q584*U584),S584+(S584*(('Atsipirkimo vertinimas'!$N$19)/12)))</f>
        <v>0</v>
      </c>
      <c r="Q584" s="92">
        <f>IF(T584=0,0,S584*('Atsipirkimo vertinimas'!$N$19)/12)</f>
        <v>0</v>
      </c>
      <c r="R584" s="92">
        <f t="shared" si="64"/>
        <v>0</v>
      </c>
      <c r="S584" s="92">
        <f t="shared" si="65"/>
        <v>0</v>
      </c>
      <c r="T584">
        <f>IF(N584-'Atsipirkimo vertinimas'!$N$20&lt;0,0,1)</f>
        <v>1</v>
      </c>
      <c r="U584">
        <f>IF(N584-'Atsipirkimo vertinimas'!$N$20&gt;=0,0,1)</f>
        <v>0</v>
      </c>
      <c r="V584" s="92"/>
      <c r="W584" s="92"/>
      <c r="X584" s="88"/>
    </row>
    <row r="585" spans="3:24" x14ac:dyDescent="0.25">
      <c r="C585" s="88">
        <v>581</v>
      </c>
      <c r="D585" s="92">
        <f t="shared" si="60"/>
        <v>-0.32318287037038085</v>
      </c>
      <c r="E585" s="92">
        <f>IF(H585=0,0,G585*('Atsipirkimo vertinimas'!$N$19)/12)</f>
        <v>-1.3537384259259364</v>
      </c>
      <c r="F585" s="92">
        <f>($G$4/('Atsipirkimo vertinimas'!$N$18*12-'Atsipirkimo vertinimas'!$N$20)*H585)</f>
        <v>0.97222222222222221</v>
      </c>
      <c r="G585" s="92">
        <f t="shared" si="63"/>
        <v>-331.52777777778033</v>
      </c>
      <c r="H585">
        <f>IF(C585-'Atsipirkimo vertinimas'!$N$20&lt;0,0,1)</f>
        <v>1</v>
      </c>
      <c r="I585" s="92"/>
      <c r="J585" s="92">
        <f t="shared" si="61"/>
        <v>0</v>
      </c>
      <c r="K585" s="92"/>
      <c r="L585" s="88"/>
      <c r="N585" s="88">
        <v>581</v>
      </c>
      <c r="O585" s="92">
        <f t="shared" si="62"/>
        <v>5.8333333333333355E-2</v>
      </c>
      <c r="P585" s="92">
        <f>IF($Z$64&lt;S585+(S585*(('Atsipirkimo vertinimas'!$N$19)/12)),($Z$64*T585)+(Q585*U585),S585+(S585*(('Atsipirkimo vertinimas'!$N$19)/12)))</f>
        <v>0</v>
      </c>
      <c r="Q585" s="92">
        <f>IF(T585=0,0,S585*('Atsipirkimo vertinimas'!$N$19)/12)</f>
        <v>0</v>
      </c>
      <c r="R585" s="92">
        <f t="shared" si="64"/>
        <v>0</v>
      </c>
      <c r="S585" s="92">
        <f t="shared" si="65"/>
        <v>0</v>
      </c>
      <c r="T585">
        <f>IF(N585-'Atsipirkimo vertinimas'!$N$20&lt;0,0,1)</f>
        <v>1</v>
      </c>
      <c r="U585">
        <f>IF(N585-'Atsipirkimo vertinimas'!$N$20&gt;=0,0,1)</f>
        <v>0</v>
      </c>
      <c r="V585" s="92"/>
      <c r="W585" s="92"/>
      <c r="X585" s="88"/>
    </row>
    <row r="586" spans="3:24" x14ac:dyDescent="0.25">
      <c r="C586" s="88">
        <v>582</v>
      </c>
      <c r="D586" s="92">
        <f t="shared" si="60"/>
        <v>-0.32715277777778817</v>
      </c>
      <c r="E586" s="92">
        <f>IF(H586=0,0,G586*('Atsipirkimo vertinimas'!$N$19)/12)</f>
        <v>-1.3577083333333437</v>
      </c>
      <c r="F586" s="92">
        <f>($G$4/('Atsipirkimo vertinimas'!$N$18*12-'Atsipirkimo vertinimas'!$N$20)*H586)</f>
        <v>0.97222222222222221</v>
      </c>
      <c r="G586" s="92">
        <f t="shared" si="63"/>
        <v>-332.50000000000256</v>
      </c>
      <c r="H586">
        <f>IF(C586-'Atsipirkimo vertinimas'!$N$20&lt;0,0,1)</f>
        <v>1</v>
      </c>
      <c r="I586" s="92"/>
      <c r="J586" s="92">
        <f t="shared" si="61"/>
        <v>0</v>
      </c>
      <c r="K586" s="92"/>
      <c r="L586" s="88"/>
      <c r="N586" s="88">
        <v>582</v>
      </c>
      <c r="O586" s="92">
        <f t="shared" si="62"/>
        <v>5.8333333333333355E-2</v>
      </c>
      <c r="P586" s="92">
        <f>IF($Z$64&lt;S586+(S586*(('Atsipirkimo vertinimas'!$N$19)/12)),($Z$64*T586)+(Q586*U586),S586+(S586*(('Atsipirkimo vertinimas'!$N$19)/12)))</f>
        <v>0</v>
      </c>
      <c r="Q586" s="92">
        <f>IF(T586=0,0,S586*('Atsipirkimo vertinimas'!$N$19)/12)</f>
        <v>0</v>
      </c>
      <c r="R586" s="92">
        <f t="shared" si="64"/>
        <v>0</v>
      </c>
      <c r="S586" s="92">
        <f t="shared" si="65"/>
        <v>0</v>
      </c>
      <c r="T586">
        <f>IF(N586-'Atsipirkimo vertinimas'!$N$20&lt;0,0,1)</f>
        <v>1</v>
      </c>
      <c r="U586">
        <f>IF(N586-'Atsipirkimo vertinimas'!$N$20&gt;=0,0,1)</f>
        <v>0</v>
      </c>
      <c r="V586" s="92"/>
      <c r="W586" s="92"/>
      <c r="X586" s="88"/>
    </row>
    <row r="587" spans="3:24" x14ac:dyDescent="0.25">
      <c r="C587" s="88">
        <v>583</v>
      </c>
      <c r="D587" s="92">
        <f t="shared" si="60"/>
        <v>-0.33112268518519572</v>
      </c>
      <c r="E587" s="92">
        <f>IF(H587=0,0,G587*('Atsipirkimo vertinimas'!$N$19)/12)</f>
        <v>-1.3616782407407513</v>
      </c>
      <c r="F587" s="92">
        <f>($G$4/('Atsipirkimo vertinimas'!$N$18*12-'Atsipirkimo vertinimas'!$N$20)*H587)</f>
        <v>0.97222222222222221</v>
      </c>
      <c r="G587" s="92">
        <f t="shared" si="63"/>
        <v>-333.47222222222479</v>
      </c>
      <c r="H587">
        <f>IF(C587-'Atsipirkimo vertinimas'!$N$20&lt;0,0,1)</f>
        <v>1</v>
      </c>
      <c r="I587" s="92"/>
      <c r="J587" s="92">
        <f t="shared" si="61"/>
        <v>0</v>
      </c>
      <c r="K587" s="92"/>
      <c r="L587" s="88"/>
      <c r="N587" s="88">
        <v>583</v>
      </c>
      <c r="O587" s="92">
        <f t="shared" si="62"/>
        <v>5.8333333333333355E-2</v>
      </c>
      <c r="P587" s="92">
        <f>IF($Z$64&lt;S587+(S587*(('Atsipirkimo vertinimas'!$N$19)/12)),($Z$64*T587)+(Q587*U587),S587+(S587*(('Atsipirkimo vertinimas'!$N$19)/12)))</f>
        <v>0</v>
      </c>
      <c r="Q587" s="92">
        <f>IF(T587=0,0,S587*('Atsipirkimo vertinimas'!$N$19)/12)</f>
        <v>0</v>
      </c>
      <c r="R587" s="92">
        <f t="shared" si="64"/>
        <v>0</v>
      </c>
      <c r="S587" s="92">
        <f t="shared" si="65"/>
        <v>0</v>
      </c>
      <c r="T587">
        <f>IF(N587-'Atsipirkimo vertinimas'!$N$20&lt;0,0,1)</f>
        <v>1</v>
      </c>
      <c r="U587">
        <f>IF(N587-'Atsipirkimo vertinimas'!$N$20&gt;=0,0,1)</f>
        <v>0</v>
      </c>
      <c r="V587" s="92"/>
      <c r="W587" s="92"/>
      <c r="X587" s="88"/>
    </row>
    <row r="588" spans="3:24" x14ac:dyDescent="0.25">
      <c r="C588" s="88">
        <v>584</v>
      </c>
      <c r="D588" s="92">
        <f t="shared" si="60"/>
        <v>-0.33509259259260327</v>
      </c>
      <c r="E588" s="92">
        <f>IF(H588=0,0,G588*('Atsipirkimo vertinimas'!$N$19)/12)</f>
        <v>-1.3656481481481588</v>
      </c>
      <c r="F588" s="92">
        <f>($G$4/('Atsipirkimo vertinimas'!$N$18*12-'Atsipirkimo vertinimas'!$N$20)*H588)</f>
        <v>0.97222222222222221</v>
      </c>
      <c r="G588" s="92">
        <f t="shared" si="63"/>
        <v>-334.44444444444702</v>
      </c>
      <c r="H588">
        <f>IF(C588-'Atsipirkimo vertinimas'!$N$20&lt;0,0,1)</f>
        <v>1</v>
      </c>
      <c r="I588" s="92"/>
      <c r="J588" s="92">
        <f t="shared" si="61"/>
        <v>0</v>
      </c>
      <c r="K588" s="92"/>
      <c r="L588" s="88"/>
      <c r="N588" s="88">
        <v>584</v>
      </c>
      <c r="O588" s="92">
        <f t="shared" si="62"/>
        <v>5.8333333333333355E-2</v>
      </c>
      <c r="P588" s="92">
        <f>IF($Z$64&lt;S588+(S588*(('Atsipirkimo vertinimas'!$N$19)/12)),($Z$64*T588)+(Q588*U588),S588+(S588*(('Atsipirkimo vertinimas'!$N$19)/12)))</f>
        <v>0</v>
      </c>
      <c r="Q588" s="92">
        <f>IF(T588=0,0,S588*('Atsipirkimo vertinimas'!$N$19)/12)</f>
        <v>0</v>
      </c>
      <c r="R588" s="92">
        <f t="shared" si="64"/>
        <v>0</v>
      </c>
      <c r="S588" s="92">
        <f t="shared" si="65"/>
        <v>0</v>
      </c>
      <c r="T588">
        <f>IF(N588-'Atsipirkimo vertinimas'!$N$20&lt;0,0,1)</f>
        <v>1</v>
      </c>
      <c r="U588">
        <f>IF(N588-'Atsipirkimo vertinimas'!$N$20&gt;=0,0,1)</f>
        <v>0</v>
      </c>
      <c r="V588" s="92"/>
      <c r="W588" s="92"/>
      <c r="X588" s="88"/>
    </row>
    <row r="589" spans="3:24" x14ac:dyDescent="0.25">
      <c r="C589" s="88">
        <v>585</v>
      </c>
      <c r="D589" s="92">
        <f t="shared" si="60"/>
        <v>-0.33906250000001059</v>
      </c>
      <c r="E589" s="92">
        <f>IF(H589=0,0,G589*('Atsipirkimo vertinimas'!$N$19)/12)</f>
        <v>-1.3696180555555661</v>
      </c>
      <c r="F589" s="92">
        <f>($G$4/('Atsipirkimo vertinimas'!$N$18*12-'Atsipirkimo vertinimas'!$N$20)*H589)</f>
        <v>0.97222222222222221</v>
      </c>
      <c r="G589" s="92">
        <f t="shared" si="63"/>
        <v>-335.41666666666924</v>
      </c>
      <c r="H589">
        <f>IF(C589-'Atsipirkimo vertinimas'!$N$20&lt;0,0,1)</f>
        <v>1</v>
      </c>
      <c r="I589" s="92"/>
      <c r="J589" s="92">
        <f t="shared" si="61"/>
        <v>0</v>
      </c>
      <c r="K589" s="92"/>
      <c r="L589" s="88"/>
      <c r="N589" s="88">
        <v>585</v>
      </c>
      <c r="O589" s="92">
        <f t="shared" si="62"/>
        <v>5.8333333333333355E-2</v>
      </c>
      <c r="P589" s="92">
        <f>IF($Z$64&lt;S589+(S589*(('Atsipirkimo vertinimas'!$N$19)/12)),($Z$64*T589)+(Q589*U589),S589+(S589*(('Atsipirkimo vertinimas'!$N$19)/12)))</f>
        <v>0</v>
      </c>
      <c r="Q589" s="92">
        <f>IF(T589=0,0,S589*('Atsipirkimo vertinimas'!$N$19)/12)</f>
        <v>0</v>
      </c>
      <c r="R589" s="92">
        <f t="shared" si="64"/>
        <v>0</v>
      </c>
      <c r="S589" s="92">
        <f t="shared" si="65"/>
        <v>0</v>
      </c>
      <c r="T589">
        <f>IF(N589-'Atsipirkimo vertinimas'!$N$20&lt;0,0,1)</f>
        <v>1</v>
      </c>
      <c r="U589">
        <f>IF(N589-'Atsipirkimo vertinimas'!$N$20&gt;=0,0,1)</f>
        <v>0</v>
      </c>
      <c r="V589" s="92"/>
      <c r="W589" s="92"/>
      <c r="X589" s="88"/>
    </row>
    <row r="590" spans="3:24" x14ac:dyDescent="0.25">
      <c r="C590" s="88">
        <v>586</v>
      </c>
      <c r="D590" s="92">
        <f t="shared" si="60"/>
        <v>-0.34303240740741814</v>
      </c>
      <c r="E590" s="92">
        <f>IF(H590=0,0,G590*('Atsipirkimo vertinimas'!$N$19)/12)</f>
        <v>-1.3735879629629737</v>
      </c>
      <c r="F590" s="92">
        <f>($G$4/('Atsipirkimo vertinimas'!$N$18*12-'Atsipirkimo vertinimas'!$N$20)*H590)</f>
        <v>0.97222222222222221</v>
      </c>
      <c r="G590" s="92">
        <f t="shared" si="63"/>
        <v>-336.38888888889147</v>
      </c>
      <c r="H590">
        <f>IF(C590-'Atsipirkimo vertinimas'!$N$20&lt;0,0,1)</f>
        <v>1</v>
      </c>
      <c r="I590" s="92"/>
      <c r="J590" s="92">
        <f t="shared" si="61"/>
        <v>0</v>
      </c>
      <c r="K590" s="92"/>
      <c r="L590" s="88"/>
      <c r="N590" s="88">
        <v>586</v>
      </c>
      <c r="O590" s="92">
        <f t="shared" si="62"/>
        <v>5.8333333333333355E-2</v>
      </c>
      <c r="P590" s="92">
        <f>IF($Z$64&lt;S590+(S590*(('Atsipirkimo vertinimas'!$N$19)/12)),($Z$64*T590)+(Q590*U590),S590+(S590*(('Atsipirkimo vertinimas'!$N$19)/12)))</f>
        <v>0</v>
      </c>
      <c r="Q590" s="92">
        <f>IF(T590=0,0,S590*('Atsipirkimo vertinimas'!$N$19)/12)</f>
        <v>0</v>
      </c>
      <c r="R590" s="92">
        <f t="shared" si="64"/>
        <v>0</v>
      </c>
      <c r="S590" s="92">
        <f t="shared" si="65"/>
        <v>0</v>
      </c>
      <c r="T590">
        <f>IF(N590-'Atsipirkimo vertinimas'!$N$20&lt;0,0,1)</f>
        <v>1</v>
      </c>
      <c r="U590">
        <f>IF(N590-'Atsipirkimo vertinimas'!$N$20&gt;=0,0,1)</f>
        <v>0</v>
      </c>
      <c r="V590" s="92"/>
      <c r="W590" s="92"/>
      <c r="X590" s="88"/>
    </row>
    <row r="591" spans="3:24" x14ac:dyDescent="0.25">
      <c r="C591" s="88">
        <v>587</v>
      </c>
      <c r="D591" s="92">
        <f t="shared" si="60"/>
        <v>-0.34700231481482524</v>
      </c>
      <c r="E591" s="92">
        <f>IF(H591=0,0,G591*('Atsipirkimo vertinimas'!$N$19)/12)</f>
        <v>-1.3775578703703808</v>
      </c>
      <c r="F591" s="92">
        <f>($G$4/('Atsipirkimo vertinimas'!$N$18*12-'Atsipirkimo vertinimas'!$N$20)*H591)</f>
        <v>0.97222222222222221</v>
      </c>
      <c r="G591" s="92">
        <f t="shared" si="63"/>
        <v>-337.3611111111137</v>
      </c>
      <c r="H591">
        <f>IF(C591-'Atsipirkimo vertinimas'!$N$20&lt;0,0,1)</f>
        <v>1</v>
      </c>
      <c r="I591" s="92"/>
      <c r="J591" s="92">
        <f t="shared" si="61"/>
        <v>0</v>
      </c>
      <c r="K591" s="92"/>
      <c r="L591" s="91">
        <f>IF('Atsipirkimo vertinimas'!$N$18*12&gt;Grafikas!C591,SUM(D580:D591),0)</f>
        <v>0</v>
      </c>
      <c r="N591" s="88">
        <v>587</v>
      </c>
      <c r="O591" s="92">
        <f t="shared" si="62"/>
        <v>5.8333333333333355E-2</v>
      </c>
      <c r="P591" s="92">
        <f>IF($Z$64&lt;S591+(S591*(('Atsipirkimo vertinimas'!$N$19)/12)),($Z$64*T591)+(Q591*U591),S591+(S591*(('Atsipirkimo vertinimas'!$N$19)/12)))</f>
        <v>0</v>
      </c>
      <c r="Q591" s="92">
        <f>IF(T591=0,0,S591*('Atsipirkimo vertinimas'!$N$19)/12)</f>
        <v>0</v>
      </c>
      <c r="R591" s="92">
        <f t="shared" si="64"/>
        <v>0</v>
      </c>
      <c r="S591" s="92">
        <f t="shared" si="65"/>
        <v>0</v>
      </c>
      <c r="T591">
        <f>IF(N591-'Atsipirkimo vertinimas'!$N$20&lt;0,0,1)</f>
        <v>1</v>
      </c>
      <c r="U591">
        <f>IF(N591-'Atsipirkimo vertinimas'!$N$20&gt;=0,0,1)</f>
        <v>0</v>
      </c>
      <c r="V591" s="92"/>
      <c r="W591" s="92"/>
      <c r="X591" s="91">
        <f>IF('Atsipirkimo vertinimas'!$N$18*12&gt;Grafikas!C591,SUM(O580:O591),0)</f>
        <v>0</v>
      </c>
    </row>
    <row r="592" spans="3:24" x14ac:dyDescent="0.25">
      <c r="C592" s="88">
        <v>588</v>
      </c>
      <c r="D592" s="92">
        <f t="shared" si="60"/>
        <v>-0.35097222222223279</v>
      </c>
      <c r="E592" s="92">
        <f>IF(H592=0,0,G592*('Atsipirkimo vertinimas'!$N$19)/12)</f>
        <v>-1.3815277777777883</v>
      </c>
      <c r="F592" s="92">
        <f>($G$4/('Atsipirkimo vertinimas'!$N$18*12-'Atsipirkimo vertinimas'!$N$20)*H592)</f>
        <v>0.97222222222222221</v>
      </c>
      <c r="G592" s="92">
        <f t="shared" si="63"/>
        <v>-338.33333333333593</v>
      </c>
      <c r="H592">
        <f>IF(C592-'Atsipirkimo vertinimas'!$N$20&lt;0,0,1)</f>
        <v>1</v>
      </c>
      <c r="I592" s="92"/>
      <c r="J592" s="92">
        <f t="shared" si="61"/>
        <v>0</v>
      </c>
      <c r="K592" s="92"/>
      <c r="L592" s="88"/>
      <c r="N592" s="88">
        <v>588</v>
      </c>
      <c r="O592" s="92">
        <f t="shared" si="62"/>
        <v>5.8333333333333355E-2</v>
      </c>
      <c r="P592" s="92">
        <f>IF($Z$64&lt;S592+(S592*(('Atsipirkimo vertinimas'!$N$19)/12)),($Z$64*T592)+(Q592*U592),S592+(S592*(('Atsipirkimo vertinimas'!$N$19)/12)))</f>
        <v>0</v>
      </c>
      <c r="Q592" s="92">
        <f>IF(T592=0,0,S592*('Atsipirkimo vertinimas'!$N$19)/12)</f>
        <v>0</v>
      </c>
      <c r="R592" s="92">
        <f t="shared" si="64"/>
        <v>0</v>
      </c>
      <c r="S592" s="92">
        <f t="shared" si="65"/>
        <v>0</v>
      </c>
      <c r="T592">
        <f>IF(N592-'Atsipirkimo vertinimas'!$N$20&lt;0,0,1)</f>
        <v>1</v>
      </c>
      <c r="U592">
        <f>IF(N592-'Atsipirkimo vertinimas'!$N$20&gt;=0,0,1)</f>
        <v>0</v>
      </c>
      <c r="V592" s="92"/>
      <c r="W592" s="92"/>
      <c r="X592" s="88"/>
    </row>
    <row r="593" spans="3:24" x14ac:dyDescent="0.25">
      <c r="C593" s="88">
        <v>589</v>
      </c>
      <c r="D593" s="92">
        <f t="shared" si="60"/>
        <v>-0.35494212962964033</v>
      </c>
      <c r="E593" s="92">
        <f>IF(H593=0,0,G593*('Atsipirkimo vertinimas'!$N$19)/12)</f>
        <v>-1.3854976851851959</v>
      </c>
      <c r="F593" s="92">
        <f>($G$4/('Atsipirkimo vertinimas'!$N$18*12-'Atsipirkimo vertinimas'!$N$20)*H593)</f>
        <v>0.97222222222222221</v>
      </c>
      <c r="G593" s="92">
        <f t="shared" si="63"/>
        <v>-339.30555555555816</v>
      </c>
      <c r="H593">
        <f>IF(C593-'Atsipirkimo vertinimas'!$N$20&lt;0,0,1)</f>
        <v>1</v>
      </c>
      <c r="I593" s="92"/>
      <c r="J593" s="92">
        <f t="shared" si="61"/>
        <v>0</v>
      </c>
      <c r="K593" s="92"/>
      <c r="L593" s="88"/>
      <c r="N593" s="88">
        <v>589</v>
      </c>
      <c r="O593" s="92">
        <f t="shared" si="62"/>
        <v>5.8333333333333355E-2</v>
      </c>
      <c r="P593" s="92">
        <f>IF($Z$64&lt;S593+(S593*(('Atsipirkimo vertinimas'!$N$19)/12)),($Z$64*T593)+(Q593*U593),S593+(S593*(('Atsipirkimo vertinimas'!$N$19)/12)))</f>
        <v>0</v>
      </c>
      <c r="Q593" s="92">
        <f>IF(T593=0,0,S593*('Atsipirkimo vertinimas'!$N$19)/12)</f>
        <v>0</v>
      </c>
      <c r="R593" s="92">
        <f t="shared" si="64"/>
        <v>0</v>
      </c>
      <c r="S593" s="92">
        <f t="shared" si="65"/>
        <v>0</v>
      </c>
      <c r="T593">
        <f>IF(N593-'Atsipirkimo vertinimas'!$N$20&lt;0,0,1)</f>
        <v>1</v>
      </c>
      <c r="U593">
        <f>IF(N593-'Atsipirkimo vertinimas'!$N$20&gt;=0,0,1)</f>
        <v>0</v>
      </c>
      <c r="V593" s="92"/>
      <c r="W593" s="92"/>
      <c r="X593" s="88"/>
    </row>
    <row r="594" spans="3:24" x14ac:dyDescent="0.25">
      <c r="C594" s="88">
        <v>590</v>
      </c>
      <c r="D594" s="92">
        <f t="shared" si="60"/>
        <v>-0.35891203703704766</v>
      </c>
      <c r="E594" s="92">
        <f>IF(H594=0,0,G594*('Atsipirkimo vertinimas'!$N$19)/12)</f>
        <v>-1.3894675925926032</v>
      </c>
      <c r="F594" s="92">
        <f>($G$4/('Atsipirkimo vertinimas'!$N$18*12-'Atsipirkimo vertinimas'!$N$20)*H594)</f>
        <v>0.97222222222222221</v>
      </c>
      <c r="G594" s="92">
        <f t="shared" si="63"/>
        <v>-340.27777777778039</v>
      </c>
      <c r="H594">
        <f>IF(C594-'Atsipirkimo vertinimas'!$N$20&lt;0,0,1)</f>
        <v>1</v>
      </c>
      <c r="I594" s="92"/>
      <c r="J594" s="92">
        <f t="shared" si="61"/>
        <v>0</v>
      </c>
      <c r="K594" s="92"/>
      <c r="L594" s="88"/>
      <c r="N594" s="88">
        <v>590</v>
      </c>
      <c r="O594" s="92">
        <f t="shared" si="62"/>
        <v>5.8333333333333355E-2</v>
      </c>
      <c r="P594" s="92">
        <f>IF($Z$64&lt;S594+(S594*(('Atsipirkimo vertinimas'!$N$19)/12)),($Z$64*T594)+(Q594*U594),S594+(S594*(('Atsipirkimo vertinimas'!$N$19)/12)))</f>
        <v>0</v>
      </c>
      <c r="Q594" s="92">
        <f>IF(T594=0,0,S594*('Atsipirkimo vertinimas'!$N$19)/12)</f>
        <v>0</v>
      </c>
      <c r="R594" s="92">
        <f t="shared" si="64"/>
        <v>0</v>
      </c>
      <c r="S594" s="92">
        <f t="shared" si="65"/>
        <v>0</v>
      </c>
      <c r="T594">
        <f>IF(N594-'Atsipirkimo vertinimas'!$N$20&lt;0,0,1)</f>
        <v>1</v>
      </c>
      <c r="U594">
        <f>IF(N594-'Atsipirkimo vertinimas'!$N$20&gt;=0,0,1)</f>
        <v>0</v>
      </c>
      <c r="V594" s="92"/>
      <c r="W594" s="92"/>
      <c r="X594" s="88"/>
    </row>
    <row r="595" spans="3:24" x14ac:dyDescent="0.25">
      <c r="C595" s="88">
        <v>591</v>
      </c>
      <c r="D595" s="92">
        <f t="shared" si="60"/>
        <v>-0.36288194444445521</v>
      </c>
      <c r="E595" s="92">
        <f>IF(H595=0,0,G595*('Atsipirkimo vertinimas'!$N$19)/12)</f>
        <v>-1.3934375000000108</v>
      </c>
      <c r="F595" s="92">
        <f>($G$4/('Atsipirkimo vertinimas'!$N$18*12-'Atsipirkimo vertinimas'!$N$20)*H595)</f>
        <v>0.97222222222222221</v>
      </c>
      <c r="G595" s="92">
        <f t="shared" si="63"/>
        <v>-341.25000000000261</v>
      </c>
      <c r="H595">
        <f>IF(C595-'Atsipirkimo vertinimas'!$N$20&lt;0,0,1)</f>
        <v>1</v>
      </c>
      <c r="I595" s="92"/>
      <c r="J595" s="92">
        <f t="shared" si="61"/>
        <v>0</v>
      </c>
      <c r="K595" s="92"/>
      <c r="L595" s="88"/>
      <c r="N595" s="88">
        <v>591</v>
      </c>
      <c r="O595" s="92">
        <f t="shared" si="62"/>
        <v>5.8333333333333355E-2</v>
      </c>
      <c r="P595" s="92">
        <f>IF($Z$64&lt;S595+(S595*(('Atsipirkimo vertinimas'!$N$19)/12)),($Z$64*T595)+(Q595*U595),S595+(S595*(('Atsipirkimo vertinimas'!$N$19)/12)))</f>
        <v>0</v>
      </c>
      <c r="Q595" s="92">
        <f>IF(T595=0,0,S595*('Atsipirkimo vertinimas'!$N$19)/12)</f>
        <v>0</v>
      </c>
      <c r="R595" s="92">
        <f t="shared" si="64"/>
        <v>0</v>
      </c>
      <c r="S595" s="92">
        <f t="shared" si="65"/>
        <v>0</v>
      </c>
      <c r="T595">
        <f>IF(N595-'Atsipirkimo vertinimas'!$N$20&lt;0,0,1)</f>
        <v>1</v>
      </c>
      <c r="U595">
        <f>IF(N595-'Atsipirkimo vertinimas'!$N$20&gt;=0,0,1)</f>
        <v>0</v>
      </c>
      <c r="V595" s="92"/>
      <c r="W595" s="92"/>
      <c r="X595" s="88"/>
    </row>
    <row r="596" spans="3:24" x14ac:dyDescent="0.25">
      <c r="C596" s="88">
        <v>592</v>
      </c>
      <c r="D596" s="92">
        <f t="shared" si="60"/>
        <v>-0.36685185185186275</v>
      </c>
      <c r="E596" s="92">
        <f>IF(H596=0,0,G596*('Atsipirkimo vertinimas'!$N$19)/12)</f>
        <v>-1.3974074074074183</v>
      </c>
      <c r="F596" s="92">
        <f>($G$4/('Atsipirkimo vertinimas'!$N$18*12-'Atsipirkimo vertinimas'!$N$20)*H596)</f>
        <v>0.97222222222222221</v>
      </c>
      <c r="G596" s="92">
        <f t="shared" si="63"/>
        <v>-342.22222222222484</v>
      </c>
      <c r="H596">
        <f>IF(C596-'Atsipirkimo vertinimas'!$N$20&lt;0,0,1)</f>
        <v>1</v>
      </c>
      <c r="I596" s="92"/>
      <c r="J596" s="92">
        <f t="shared" si="61"/>
        <v>0</v>
      </c>
      <c r="K596" s="92"/>
      <c r="L596" s="88"/>
      <c r="N596" s="88">
        <v>592</v>
      </c>
      <c r="O596" s="92">
        <f t="shared" si="62"/>
        <v>5.8333333333333355E-2</v>
      </c>
      <c r="P596" s="92">
        <f>IF($Z$64&lt;S596+(S596*(('Atsipirkimo vertinimas'!$N$19)/12)),($Z$64*T596)+(Q596*U596),S596+(S596*(('Atsipirkimo vertinimas'!$N$19)/12)))</f>
        <v>0</v>
      </c>
      <c r="Q596" s="92">
        <f>IF(T596=0,0,S596*('Atsipirkimo vertinimas'!$N$19)/12)</f>
        <v>0</v>
      </c>
      <c r="R596" s="92">
        <f t="shared" si="64"/>
        <v>0</v>
      </c>
      <c r="S596" s="92">
        <f t="shared" si="65"/>
        <v>0</v>
      </c>
      <c r="T596">
        <f>IF(N596-'Atsipirkimo vertinimas'!$N$20&lt;0,0,1)</f>
        <v>1</v>
      </c>
      <c r="U596">
        <f>IF(N596-'Atsipirkimo vertinimas'!$N$20&gt;=0,0,1)</f>
        <v>0</v>
      </c>
      <c r="V596" s="92"/>
      <c r="W596" s="92"/>
      <c r="X596" s="88"/>
    </row>
    <row r="597" spans="3:24" x14ac:dyDescent="0.25">
      <c r="C597" s="88">
        <v>593</v>
      </c>
      <c r="D597" s="92">
        <f t="shared" si="60"/>
        <v>-0.37082175925927008</v>
      </c>
      <c r="E597" s="92">
        <f>IF(H597=0,0,G597*('Atsipirkimo vertinimas'!$N$19)/12)</f>
        <v>-1.4013773148148256</v>
      </c>
      <c r="F597" s="92">
        <f>($G$4/('Atsipirkimo vertinimas'!$N$18*12-'Atsipirkimo vertinimas'!$N$20)*H597)</f>
        <v>0.97222222222222221</v>
      </c>
      <c r="G597" s="92">
        <f t="shared" si="63"/>
        <v>-343.19444444444707</v>
      </c>
      <c r="H597">
        <f>IF(C597-'Atsipirkimo vertinimas'!$N$20&lt;0,0,1)</f>
        <v>1</v>
      </c>
      <c r="I597" s="92"/>
      <c r="J597" s="92">
        <f t="shared" si="61"/>
        <v>0</v>
      </c>
      <c r="K597" s="92"/>
      <c r="L597" s="88"/>
      <c r="N597" s="88">
        <v>593</v>
      </c>
      <c r="O597" s="92">
        <f t="shared" si="62"/>
        <v>5.8333333333333355E-2</v>
      </c>
      <c r="P597" s="92">
        <f>IF($Z$64&lt;S597+(S597*(('Atsipirkimo vertinimas'!$N$19)/12)),($Z$64*T597)+(Q597*U597),S597+(S597*(('Atsipirkimo vertinimas'!$N$19)/12)))</f>
        <v>0</v>
      </c>
      <c r="Q597" s="92">
        <f>IF(T597=0,0,S597*('Atsipirkimo vertinimas'!$N$19)/12)</f>
        <v>0</v>
      </c>
      <c r="R597" s="92">
        <f t="shared" si="64"/>
        <v>0</v>
      </c>
      <c r="S597" s="92">
        <f t="shared" si="65"/>
        <v>0</v>
      </c>
      <c r="T597">
        <f>IF(N597-'Atsipirkimo vertinimas'!$N$20&lt;0,0,1)</f>
        <v>1</v>
      </c>
      <c r="U597">
        <f>IF(N597-'Atsipirkimo vertinimas'!$N$20&gt;=0,0,1)</f>
        <v>0</v>
      </c>
      <c r="V597" s="92"/>
      <c r="W597" s="92"/>
      <c r="X597" s="88"/>
    </row>
    <row r="598" spans="3:24" x14ac:dyDescent="0.25">
      <c r="C598" s="88">
        <v>594</v>
      </c>
      <c r="D598" s="92">
        <f t="shared" si="60"/>
        <v>-0.37479166666667763</v>
      </c>
      <c r="E598" s="92">
        <f>IF(H598=0,0,G598*('Atsipirkimo vertinimas'!$N$19)/12)</f>
        <v>-1.4053472222222332</v>
      </c>
      <c r="F598" s="92">
        <f>($G$4/('Atsipirkimo vertinimas'!$N$18*12-'Atsipirkimo vertinimas'!$N$20)*H598)</f>
        <v>0.97222222222222221</v>
      </c>
      <c r="G598" s="92">
        <f t="shared" si="63"/>
        <v>-344.1666666666693</v>
      </c>
      <c r="H598">
        <f>IF(C598-'Atsipirkimo vertinimas'!$N$20&lt;0,0,1)</f>
        <v>1</v>
      </c>
      <c r="I598" s="92"/>
      <c r="J598" s="92">
        <f t="shared" si="61"/>
        <v>0</v>
      </c>
      <c r="K598" s="92"/>
      <c r="L598" s="88"/>
      <c r="N598" s="88">
        <v>594</v>
      </c>
      <c r="O598" s="92">
        <f t="shared" si="62"/>
        <v>5.8333333333333355E-2</v>
      </c>
      <c r="P598" s="92">
        <f>IF($Z$64&lt;S598+(S598*(('Atsipirkimo vertinimas'!$N$19)/12)),($Z$64*T598)+(Q598*U598),S598+(S598*(('Atsipirkimo vertinimas'!$N$19)/12)))</f>
        <v>0</v>
      </c>
      <c r="Q598" s="92">
        <f>IF(T598=0,0,S598*('Atsipirkimo vertinimas'!$N$19)/12)</f>
        <v>0</v>
      </c>
      <c r="R598" s="92">
        <f t="shared" si="64"/>
        <v>0</v>
      </c>
      <c r="S598" s="92">
        <f t="shared" si="65"/>
        <v>0</v>
      </c>
      <c r="T598">
        <f>IF(N598-'Atsipirkimo vertinimas'!$N$20&lt;0,0,1)</f>
        <v>1</v>
      </c>
      <c r="U598">
        <f>IF(N598-'Atsipirkimo vertinimas'!$N$20&gt;=0,0,1)</f>
        <v>0</v>
      </c>
      <c r="V598" s="92"/>
      <c r="W598" s="92"/>
      <c r="X598" s="88"/>
    </row>
    <row r="599" spans="3:24" x14ac:dyDescent="0.25">
      <c r="C599" s="88">
        <v>595</v>
      </c>
      <c r="D599" s="92">
        <f t="shared" si="60"/>
        <v>-0.37876157407408473</v>
      </c>
      <c r="E599" s="92">
        <f>IF(H599=0,0,G599*('Atsipirkimo vertinimas'!$N$19)/12)</f>
        <v>-1.4093171296296403</v>
      </c>
      <c r="F599" s="92">
        <f>($G$4/('Atsipirkimo vertinimas'!$N$18*12-'Atsipirkimo vertinimas'!$N$20)*H599)</f>
        <v>0.97222222222222221</v>
      </c>
      <c r="G599" s="92">
        <f t="shared" si="63"/>
        <v>-345.13888888889153</v>
      </c>
      <c r="H599">
        <f>IF(C599-'Atsipirkimo vertinimas'!$N$20&lt;0,0,1)</f>
        <v>1</v>
      </c>
      <c r="I599" s="92"/>
      <c r="J599" s="92">
        <f t="shared" si="61"/>
        <v>0</v>
      </c>
      <c r="K599" s="92"/>
      <c r="L599" s="88"/>
      <c r="N599" s="88">
        <v>595</v>
      </c>
      <c r="O599" s="92">
        <f t="shared" si="62"/>
        <v>5.8333333333333355E-2</v>
      </c>
      <c r="P599" s="92">
        <f>IF($Z$64&lt;S599+(S599*(('Atsipirkimo vertinimas'!$N$19)/12)),($Z$64*T599)+(Q599*U599),S599+(S599*(('Atsipirkimo vertinimas'!$N$19)/12)))</f>
        <v>0</v>
      </c>
      <c r="Q599" s="92">
        <f>IF(T599=0,0,S599*('Atsipirkimo vertinimas'!$N$19)/12)</f>
        <v>0</v>
      </c>
      <c r="R599" s="92">
        <f t="shared" si="64"/>
        <v>0</v>
      </c>
      <c r="S599" s="92">
        <f t="shared" si="65"/>
        <v>0</v>
      </c>
      <c r="T599">
        <f>IF(N599-'Atsipirkimo vertinimas'!$N$20&lt;0,0,1)</f>
        <v>1</v>
      </c>
      <c r="U599">
        <f>IF(N599-'Atsipirkimo vertinimas'!$N$20&gt;=0,0,1)</f>
        <v>0</v>
      </c>
      <c r="V599" s="92"/>
      <c r="W599" s="92"/>
      <c r="X599" s="88"/>
    </row>
    <row r="600" spans="3:24" x14ac:dyDescent="0.25">
      <c r="C600" s="88">
        <v>596</v>
      </c>
      <c r="D600" s="92">
        <f t="shared" si="60"/>
        <v>-0.38273148148149227</v>
      </c>
      <c r="E600" s="92">
        <f>IF(H600=0,0,G600*('Atsipirkimo vertinimas'!$N$19)/12)</f>
        <v>-1.4132870370370478</v>
      </c>
      <c r="F600" s="92">
        <f>($G$4/('Atsipirkimo vertinimas'!$N$18*12-'Atsipirkimo vertinimas'!$N$20)*H600)</f>
        <v>0.97222222222222221</v>
      </c>
      <c r="G600" s="92">
        <f t="shared" si="63"/>
        <v>-346.11111111111376</v>
      </c>
      <c r="H600">
        <f>IF(C600-'Atsipirkimo vertinimas'!$N$20&lt;0,0,1)</f>
        <v>1</v>
      </c>
      <c r="I600" s="92"/>
      <c r="J600" s="92">
        <f t="shared" si="61"/>
        <v>0</v>
      </c>
      <c r="K600" s="92"/>
      <c r="L600" s="88"/>
      <c r="N600" s="88">
        <v>596</v>
      </c>
      <c r="O600" s="92">
        <f t="shared" si="62"/>
        <v>5.8333333333333355E-2</v>
      </c>
      <c r="P600" s="92">
        <f>IF($Z$64&lt;S600+(S600*(('Atsipirkimo vertinimas'!$N$19)/12)),($Z$64*T600)+(Q600*U600),S600+(S600*(('Atsipirkimo vertinimas'!$N$19)/12)))</f>
        <v>0</v>
      </c>
      <c r="Q600" s="92">
        <f>IF(T600=0,0,S600*('Atsipirkimo vertinimas'!$N$19)/12)</f>
        <v>0</v>
      </c>
      <c r="R600" s="92">
        <f t="shared" si="64"/>
        <v>0</v>
      </c>
      <c r="S600" s="92">
        <f t="shared" si="65"/>
        <v>0</v>
      </c>
      <c r="T600">
        <f>IF(N600-'Atsipirkimo vertinimas'!$N$20&lt;0,0,1)</f>
        <v>1</v>
      </c>
      <c r="U600">
        <f>IF(N600-'Atsipirkimo vertinimas'!$N$20&gt;=0,0,1)</f>
        <v>0</v>
      </c>
      <c r="V600" s="92"/>
      <c r="W600" s="92"/>
      <c r="X600" s="88"/>
    </row>
    <row r="601" spans="3:24" x14ac:dyDescent="0.25">
      <c r="C601" s="88">
        <v>597</v>
      </c>
      <c r="D601" s="92">
        <f t="shared" si="60"/>
        <v>-0.38670138888889982</v>
      </c>
      <c r="E601" s="92">
        <f>IF(H601=0,0,G601*('Atsipirkimo vertinimas'!$N$19)/12)</f>
        <v>-1.4172569444444554</v>
      </c>
      <c r="F601" s="92">
        <f>($G$4/('Atsipirkimo vertinimas'!$N$18*12-'Atsipirkimo vertinimas'!$N$20)*H601)</f>
        <v>0.97222222222222221</v>
      </c>
      <c r="G601" s="92">
        <f t="shared" si="63"/>
        <v>-347.08333333333599</v>
      </c>
      <c r="H601">
        <f>IF(C601-'Atsipirkimo vertinimas'!$N$20&lt;0,0,1)</f>
        <v>1</v>
      </c>
      <c r="I601" s="92"/>
      <c r="J601" s="92">
        <f t="shared" si="61"/>
        <v>0</v>
      </c>
      <c r="K601" s="92"/>
      <c r="L601" s="88"/>
      <c r="N601" s="88">
        <v>597</v>
      </c>
      <c r="O601" s="92">
        <f t="shared" si="62"/>
        <v>5.8333333333333355E-2</v>
      </c>
      <c r="P601" s="92">
        <f>IF($Z$64&lt;S601+(S601*(('Atsipirkimo vertinimas'!$N$19)/12)),($Z$64*T601)+(Q601*U601),S601+(S601*(('Atsipirkimo vertinimas'!$N$19)/12)))</f>
        <v>0</v>
      </c>
      <c r="Q601" s="92">
        <f>IF(T601=0,0,S601*('Atsipirkimo vertinimas'!$N$19)/12)</f>
        <v>0</v>
      </c>
      <c r="R601" s="92">
        <f t="shared" si="64"/>
        <v>0</v>
      </c>
      <c r="S601" s="92">
        <f t="shared" si="65"/>
        <v>0</v>
      </c>
      <c r="T601">
        <f>IF(N601-'Atsipirkimo vertinimas'!$N$20&lt;0,0,1)</f>
        <v>1</v>
      </c>
      <c r="U601">
        <f>IF(N601-'Atsipirkimo vertinimas'!$N$20&gt;=0,0,1)</f>
        <v>0</v>
      </c>
      <c r="V601" s="92"/>
      <c r="W601" s="92"/>
      <c r="X601" s="88"/>
    </row>
    <row r="602" spans="3:24" x14ac:dyDescent="0.25">
      <c r="C602" s="88">
        <v>598</v>
      </c>
      <c r="D602" s="92">
        <f t="shared" si="60"/>
        <v>-0.39067129629630715</v>
      </c>
      <c r="E602" s="92">
        <f>IF(H602=0,0,G602*('Atsipirkimo vertinimas'!$N$19)/12)</f>
        <v>-1.4212268518518627</v>
      </c>
      <c r="F602" s="92">
        <f>($G$4/('Atsipirkimo vertinimas'!$N$18*12-'Atsipirkimo vertinimas'!$N$20)*H602)</f>
        <v>0.97222222222222221</v>
      </c>
      <c r="G602" s="92">
        <f t="shared" si="63"/>
        <v>-348.05555555555821</v>
      </c>
      <c r="H602">
        <f>IF(C602-'Atsipirkimo vertinimas'!$N$20&lt;0,0,1)</f>
        <v>1</v>
      </c>
      <c r="I602" s="92"/>
      <c r="J602" s="92">
        <f t="shared" si="61"/>
        <v>0</v>
      </c>
      <c r="K602" s="92"/>
      <c r="L602" s="88"/>
      <c r="N602" s="88">
        <v>598</v>
      </c>
      <c r="O602" s="92">
        <f t="shared" si="62"/>
        <v>5.8333333333333355E-2</v>
      </c>
      <c r="P602" s="92">
        <f>IF($Z$64&lt;S602+(S602*(('Atsipirkimo vertinimas'!$N$19)/12)),($Z$64*T602)+(Q602*U602),S602+(S602*(('Atsipirkimo vertinimas'!$N$19)/12)))</f>
        <v>0</v>
      </c>
      <c r="Q602" s="92">
        <f>IF(T602=0,0,S602*('Atsipirkimo vertinimas'!$N$19)/12)</f>
        <v>0</v>
      </c>
      <c r="R602" s="92">
        <f t="shared" si="64"/>
        <v>0</v>
      </c>
      <c r="S602" s="92">
        <f t="shared" si="65"/>
        <v>0</v>
      </c>
      <c r="T602">
        <f>IF(N602-'Atsipirkimo vertinimas'!$N$20&lt;0,0,1)</f>
        <v>1</v>
      </c>
      <c r="U602">
        <f>IF(N602-'Atsipirkimo vertinimas'!$N$20&gt;=0,0,1)</f>
        <v>0</v>
      </c>
      <c r="V602" s="92"/>
      <c r="W602" s="92"/>
      <c r="X602" s="88"/>
    </row>
    <row r="603" spans="3:24" x14ac:dyDescent="0.25">
      <c r="C603" s="88">
        <v>599</v>
      </c>
      <c r="D603" s="92">
        <f t="shared" si="60"/>
        <v>-0.39464120370371469</v>
      </c>
      <c r="E603" s="92">
        <f>IF(H603=0,0,G603*('Atsipirkimo vertinimas'!$N$19)/12)</f>
        <v>-1.4251967592592703</v>
      </c>
      <c r="F603" s="92">
        <f>($G$4/('Atsipirkimo vertinimas'!$N$18*12-'Atsipirkimo vertinimas'!$N$20)*H603)</f>
        <v>0.97222222222222221</v>
      </c>
      <c r="G603" s="92">
        <f t="shared" si="63"/>
        <v>-349.02777777778044</v>
      </c>
      <c r="H603">
        <f>IF(C603-'Atsipirkimo vertinimas'!$N$20&lt;0,0,1)</f>
        <v>1</v>
      </c>
      <c r="I603" s="92"/>
      <c r="J603" s="92">
        <f t="shared" si="61"/>
        <v>0</v>
      </c>
      <c r="K603" s="92"/>
      <c r="L603" s="91">
        <f>IF('Atsipirkimo vertinimas'!$N$18*12&gt;Grafikas!C603,SUM(D592:D603),0)</f>
        <v>0</v>
      </c>
      <c r="N603" s="88">
        <v>599</v>
      </c>
      <c r="O603" s="92">
        <f t="shared" si="62"/>
        <v>5.8333333333333355E-2</v>
      </c>
      <c r="P603" s="92">
        <f>IF($Z$64&lt;S603+(S603*(('Atsipirkimo vertinimas'!$N$19)/12)),($Z$64*T603)+(Q603*U603),S603+(S603*(('Atsipirkimo vertinimas'!$N$19)/12)))</f>
        <v>0</v>
      </c>
      <c r="Q603" s="92">
        <f>IF(T603=0,0,S603*('Atsipirkimo vertinimas'!$N$19)/12)</f>
        <v>0</v>
      </c>
      <c r="R603" s="92">
        <f t="shared" si="64"/>
        <v>0</v>
      </c>
      <c r="S603" s="92">
        <f t="shared" si="65"/>
        <v>0</v>
      </c>
      <c r="T603">
        <f>IF(N603-'Atsipirkimo vertinimas'!$N$20&lt;0,0,1)</f>
        <v>1</v>
      </c>
      <c r="U603">
        <f>IF(N603-'Atsipirkimo vertinimas'!$N$20&gt;=0,0,1)</f>
        <v>0</v>
      </c>
      <c r="V603" s="92"/>
      <c r="W603" s="92"/>
      <c r="X603" s="91">
        <f>IF('Atsipirkimo vertinimas'!$N$18*12&gt;Grafikas!C603,SUM(O592:O603),0)</f>
        <v>0</v>
      </c>
    </row>
    <row r="604" spans="3:24" x14ac:dyDescent="0.25">
      <c r="O604" s="92"/>
      <c r="P604" s="92"/>
      <c r="Q604" s="92"/>
      <c r="R604" s="92"/>
      <c r="S604" s="92"/>
    </row>
  </sheetData>
  <sheetProtection algorithmName="SHA-512" hashValue="tWHx/KHZAuz0gZrxdDPA9Q3SiPOWgYlLONBYZNz1q3he6nbfgprVS3yL3CjKfUKzkNooRkiVYU5Xq1+FVucp4g==" saltValue="GhvKdqYrMct4I4oqlrHd9g==" spinCount="100000" sheet="1" objects="1" scenarios="1"/>
  <mergeCells count="2">
    <mergeCell ref="C2:H2"/>
    <mergeCell ref="N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15</vt:i4>
      </vt:variant>
    </vt:vector>
  </HeadingPairs>
  <TitlesOfParts>
    <vt:vector size="20" baseType="lpstr">
      <vt:lpstr>Atsipirkimo vertinimas</vt:lpstr>
      <vt:lpstr>Rezultatų lentelė</vt:lpstr>
      <vt:lpstr>Skaičiavimai</vt:lpstr>
      <vt:lpstr>Klasifikatorius</vt:lpstr>
      <vt:lpstr>Grafikas</vt:lpstr>
      <vt:lpstr>Atidėjimas</vt:lpstr>
      <vt:lpstr>'Rezultatų lentelė'!DISCONT</vt:lpstr>
      <vt:lpstr>DISCONT</vt:lpstr>
      <vt:lpstr>'Rezultatų lentelė'!Investicijos</vt:lpstr>
      <vt:lpstr>Investicijos</vt:lpstr>
      <vt:lpstr>'Rezultatų lentelė'!Kaupimas</vt:lpstr>
      <vt:lpstr>Kaupimas</vt:lpstr>
      <vt:lpstr>'Rezultatų lentelė'!Paskola</vt:lpstr>
      <vt:lpstr>Paskola</vt:lpstr>
      <vt:lpstr>'Rezultatų lentelė'!Subsidija</vt:lpstr>
      <vt:lpstr>Subsidija</vt:lpstr>
      <vt:lpstr>'Rezultatų lentelė'!Sutaupymas</vt:lpstr>
      <vt:lpstr>Sutaupymas</vt:lpstr>
      <vt:lpstr>'Rezultatų lentelė'!TP</vt:lpstr>
      <vt:lpstr>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Rolandas Marcinkevičius</cp:lastModifiedBy>
  <cp:lastPrinted>2023-03-16T02:28:58Z</cp:lastPrinted>
  <dcterms:created xsi:type="dcterms:W3CDTF">2022-09-13T05:00:56Z</dcterms:created>
  <dcterms:modified xsi:type="dcterms:W3CDTF">2023-03-16T02:38:44Z</dcterms:modified>
  <cp:contentStatus/>
</cp:coreProperties>
</file>